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hafane.thobejane\Documents\Fee Docs\Fee related enquiries\15% VAT rate\2024\"/>
    </mc:Choice>
  </mc:AlternateContent>
  <bookViews>
    <workbookView xWindow="0" yWindow="0" windowWidth="20496" windowHeight="7452" activeTab="1"/>
  </bookViews>
  <sheets>
    <sheet name="Notes" sheetId="1" r:id="rId1"/>
    <sheet name="Input Data" sheetId="2" r:id="rId2"/>
    <sheet name="Worked Example" sheetId="13" r:id="rId3"/>
    <sheet name="Tax Invoice Engineering Project" sheetId="4" r:id="rId4"/>
    <sheet name="Tax Invoice Multidiscpl Project" sheetId="12" r:id="rId5"/>
    <sheet name="Scales" sheetId="5" r:id="rId6"/>
    <sheet name="Previous Claims" sheetId="6" r:id="rId7"/>
    <sheet name="Summary A3" sheetId="15" r:id="rId8"/>
    <sheet name="Time Based" sheetId="9" r:id="rId9"/>
    <sheet name="Trip Sheet" sheetId="14" r:id="rId10"/>
    <sheet name="Subsistance &amp; Travelling" sheetId="7" r:id="rId11"/>
    <sheet name="Typing, Duplicating, &amp; Printing" sheetId="8" r:id="rId12"/>
    <sheet name="Site staff &amp; Other" sheetId="10" r:id="rId13"/>
    <sheet name="Non Taxable" sheetId="11" r:id="rId14"/>
  </sheets>
  <definedNames>
    <definedName name="_xlnm.Print_Area" localSheetId="1">'Input Data'!$A$1:$H$54</definedName>
    <definedName name="_xlnm.Print_Area" localSheetId="0">Notes!$A$1:$B$63</definedName>
    <definedName name="_xlnm.Print_Area" localSheetId="12">'Site staff &amp; Other'!$A$1:$I$65</definedName>
    <definedName name="_xlnm.Print_Area" localSheetId="10">'Subsistance &amp; Travelling'!$A$1:$O$61</definedName>
    <definedName name="_xlnm.Print_Area" localSheetId="3">'Tax Invoice Engineering Project'!$A$1:$O$125</definedName>
    <definedName name="_xlnm.Print_Area" localSheetId="4">'Tax Invoice Multidiscpl Project'!$A$1:$O$104</definedName>
    <definedName name="_xlnm.Print_Area" localSheetId="8">'Time Based'!$A$1:$I$54</definedName>
    <definedName name="_xlnm.Print_Area" localSheetId="11">'Typing, Duplicating, &amp; Printing'!$A$1:$J$64</definedName>
    <definedName name="_xlnm.Print_Area" localSheetId="2">'Worked Example'!$A$1:$H$53</definedName>
    <definedName name="_xlnm.Print_Titles" localSheetId="3">'Tax Invoice Engineering Project'!$1:$5</definedName>
    <definedName name="_xlnm.Print_Titles" localSheetId="4">'Tax Invoice Multidiscpl Project'!$1:$5</definedName>
    <definedName name="SCALE_EB">Scales!$B$13:$E$20</definedName>
    <definedName name="SCALE_EE">Scales!$B$3:$E$10</definedName>
  </definedNames>
  <calcPr calcId="162913"/>
</workbook>
</file>

<file path=xl/calcChain.xml><?xml version="1.0" encoding="utf-8"?>
<calcChain xmlns="http://schemas.openxmlformats.org/spreadsheetml/2006/main">
  <c r="H39" i="2" l="1"/>
  <c r="G122" i="4" l="1"/>
  <c r="M42" i="12" l="1"/>
  <c r="M53" i="4"/>
  <c r="M43" i="14" l="1"/>
  <c r="F54" i="15" l="1"/>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O1" i="6"/>
  <c r="H57" i="12"/>
  <c r="I69" i="4"/>
  <c r="I122" i="4" l="1"/>
  <c r="C56" i="4" l="1"/>
  <c r="F32" i="13" l="1"/>
  <c r="H50" i="13" s="1"/>
  <c r="F32" i="2"/>
  <c r="K9" i="5" l="1"/>
  <c r="K8" i="5"/>
  <c r="E42" i="2"/>
  <c r="I9" i="5"/>
  <c r="I8" i="5"/>
  <c r="H44" i="2"/>
  <c r="H52" i="2"/>
  <c r="H54" i="2"/>
  <c r="G109" i="4"/>
  <c r="G108" i="4"/>
  <c r="K121" i="4"/>
  <c r="I114" i="4"/>
  <c r="I100" i="12"/>
  <c r="I97" i="12"/>
  <c r="I117" i="4"/>
  <c r="K6" i="5"/>
  <c r="K122" i="4"/>
  <c r="H51" i="2"/>
  <c r="H45" i="13"/>
  <c r="H51" i="13"/>
  <c r="H42" i="13"/>
  <c r="H52" i="13"/>
  <c r="H43" i="13"/>
  <c r="H48" i="13"/>
  <c r="H53" i="13"/>
  <c r="H44" i="13"/>
  <c r="I7" i="5"/>
  <c r="H46" i="2"/>
  <c r="K7" i="5"/>
  <c r="H43" i="2"/>
  <c r="H49" i="2"/>
  <c r="I5" i="5"/>
  <c r="H45" i="2"/>
  <c r="G121" i="4" l="1"/>
  <c r="G48" i="2"/>
  <c r="H46" i="13"/>
  <c r="D28" i="13"/>
  <c r="D20" i="13"/>
  <c r="O52" i="7" l="1"/>
  <c r="O51" i="7"/>
  <c r="O50" i="7"/>
  <c r="O49" i="7"/>
  <c r="O48" i="7"/>
  <c r="O47" i="7"/>
  <c r="O46" i="7"/>
  <c r="O45" i="7"/>
  <c r="O44" i="7"/>
  <c r="O43" i="7"/>
  <c r="G5" i="14" l="1"/>
  <c r="L20" i="15" l="1"/>
  <c r="L88" i="4" l="1"/>
  <c r="M74" i="12"/>
  <c r="M76" i="12"/>
  <c r="J19" i="11" l="1"/>
  <c r="J21" i="11" l="1"/>
  <c r="O58" i="12" s="1"/>
  <c r="M77" i="12" s="1"/>
  <c r="H49" i="15"/>
  <c r="J49" i="15" s="1"/>
  <c r="G3" i="10"/>
  <c r="C3" i="8"/>
  <c r="F3" i="8"/>
  <c r="O91" i="4"/>
  <c r="J15" i="15"/>
  <c r="E15" i="15"/>
  <c r="J13" i="15"/>
  <c r="L12" i="15"/>
  <c r="E13" i="15"/>
  <c r="E12" i="15"/>
  <c r="E11" i="15"/>
  <c r="F9" i="15"/>
  <c r="E6" i="15"/>
  <c r="L4" i="15"/>
  <c r="G4" i="15"/>
  <c r="D3" i="7"/>
  <c r="E3" i="9"/>
  <c r="H3" i="9"/>
  <c r="J3" i="7"/>
  <c r="C3" i="9"/>
  <c r="D3" i="10"/>
  <c r="I63" i="10"/>
  <c r="I62" i="10"/>
  <c r="I61" i="10"/>
  <c r="I60" i="10"/>
  <c r="I59" i="10"/>
  <c r="I58" i="10"/>
  <c r="I57" i="10"/>
  <c r="I56" i="10"/>
  <c r="I55" i="10"/>
  <c r="I54" i="10"/>
  <c r="I50" i="10"/>
  <c r="I67" i="10" s="1"/>
  <c r="I76" i="12" s="1"/>
  <c r="I46" i="10"/>
  <c r="I45" i="10"/>
  <c r="I44" i="10"/>
  <c r="I43" i="10"/>
  <c r="I42" i="10"/>
  <c r="I41" i="10"/>
  <c r="I40" i="10"/>
  <c r="I39" i="10"/>
  <c r="I38" i="10"/>
  <c r="I37" i="10"/>
  <c r="I31" i="10"/>
  <c r="I30" i="10"/>
  <c r="I29" i="10"/>
  <c r="I28" i="10"/>
  <c r="I27" i="10"/>
  <c r="I26" i="10"/>
  <c r="I25" i="10"/>
  <c r="I24" i="10"/>
  <c r="I23" i="10"/>
  <c r="I22" i="10"/>
  <c r="I16" i="10"/>
  <c r="I15" i="10"/>
  <c r="I14" i="10"/>
  <c r="I13" i="10"/>
  <c r="I12" i="10"/>
  <c r="I11" i="10"/>
  <c r="I10" i="10"/>
  <c r="I9" i="10"/>
  <c r="I8" i="10"/>
  <c r="I7" i="10"/>
  <c r="I65" i="9"/>
  <c r="I64" i="9"/>
  <c r="I63" i="9"/>
  <c r="I62" i="9"/>
  <c r="I61" i="9"/>
  <c r="I60" i="9"/>
  <c r="I59" i="9"/>
  <c r="I58" i="9"/>
  <c r="I57" i="9"/>
  <c r="I56" i="9"/>
  <c r="I51" i="9"/>
  <c r="I50" i="9"/>
  <c r="I49" i="9"/>
  <c r="I48" i="9"/>
  <c r="I47" i="9"/>
  <c r="I46" i="9"/>
  <c r="I45" i="9"/>
  <c r="I44" i="9"/>
  <c r="I43" i="9"/>
  <c r="I42" i="9"/>
  <c r="I36" i="9"/>
  <c r="I35" i="9"/>
  <c r="I34" i="9"/>
  <c r="I33" i="9"/>
  <c r="I32" i="9"/>
  <c r="I31" i="9"/>
  <c r="I30" i="9"/>
  <c r="I29" i="9"/>
  <c r="I28" i="9"/>
  <c r="I27" i="9"/>
  <c r="I21" i="9"/>
  <c r="I20" i="9"/>
  <c r="I19" i="9"/>
  <c r="I18" i="9"/>
  <c r="I17" i="9"/>
  <c r="I16" i="9"/>
  <c r="I15" i="9"/>
  <c r="I14" i="9"/>
  <c r="I13" i="9"/>
  <c r="I12" i="9"/>
  <c r="O83" i="7"/>
  <c r="O68" i="7"/>
  <c r="O36" i="7"/>
  <c r="L32" i="7"/>
  <c r="L31" i="7"/>
  <c r="L30" i="7"/>
  <c r="L29" i="7"/>
  <c r="L28" i="7"/>
  <c r="L27" i="7"/>
  <c r="L26" i="7"/>
  <c r="L25" i="7"/>
  <c r="L24" i="7"/>
  <c r="L23" i="7"/>
  <c r="J64" i="8"/>
  <c r="H88" i="4" s="1"/>
  <c r="J59" i="8"/>
  <c r="J58" i="8"/>
  <c r="J57" i="8"/>
  <c r="J56" i="8"/>
  <c r="J55" i="8"/>
  <c r="J54" i="8"/>
  <c r="J53" i="8"/>
  <c r="J52" i="8"/>
  <c r="J51" i="8"/>
  <c r="J50" i="8"/>
  <c r="J45" i="8"/>
  <c r="J44" i="8"/>
  <c r="J43" i="8"/>
  <c r="J42" i="8"/>
  <c r="J41" i="8"/>
  <c r="J40" i="8"/>
  <c r="J39" i="8"/>
  <c r="J38" i="8"/>
  <c r="J37" i="8"/>
  <c r="J36" i="8"/>
  <c r="J31" i="8"/>
  <c r="J30" i="8"/>
  <c r="J29" i="8"/>
  <c r="J28" i="8"/>
  <c r="J27" i="8"/>
  <c r="J26" i="8"/>
  <c r="J25" i="8"/>
  <c r="J24" i="8"/>
  <c r="J23" i="8"/>
  <c r="J22" i="8"/>
  <c r="J17" i="8"/>
  <c r="J16" i="8"/>
  <c r="J15" i="8"/>
  <c r="J14" i="8"/>
  <c r="J13" i="8"/>
  <c r="J12" i="8"/>
  <c r="J11" i="8"/>
  <c r="J10" i="8"/>
  <c r="J9" i="8"/>
  <c r="J8" i="8"/>
  <c r="J60" i="8" l="1"/>
  <c r="I88" i="4"/>
  <c r="H76" i="12"/>
  <c r="J46" i="8"/>
  <c r="O53" i="7"/>
  <c r="O87" i="7" s="1"/>
  <c r="I32" i="10"/>
  <c r="I47" i="10"/>
  <c r="I17" i="10"/>
  <c r="I64" i="10"/>
  <c r="H45" i="15" s="1"/>
  <c r="J45" i="15" s="1"/>
  <c r="I66" i="9"/>
  <c r="H26" i="15" s="1"/>
  <c r="J26" i="15" s="1"/>
  <c r="I52" i="9"/>
  <c r="H25" i="15" s="1"/>
  <c r="J25" i="15" s="1"/>
  <c r="I37" i="9"/>
  <c r="I22" i="9"/>
  <c r="J32" i="8"/>
  <c r="J18" i="8"/>
  <c r="A1" i="13"/>
  <c r="O60" i="14"/>
  <c r="N44" i="14"/>
  <c r="H43" i="14"/>
  <c r="O43" i="14" s="1"/>
  <c r="O45" i="14" s="1"/>
  <c r="J36" i="14"/>
  <c r="M36" i="14" s="1"/>
  <c r="O36" i="14" s="1"/>
  <c r="O37" i="14" s="1"/>
  <c r="F36" i="14"/>
  <c r="F35" i="14"/>
  <c r="F34" i="14"/>
  <c r="F33" i="14"/>
  <c r="O16" i="14"/>
  <c r="J28" i="15"/>
  <c r="F37" i="14" l="1"/>
  <c r="O61" i="14" s="1"/>
  <c r="I49" i="10"/>
  <c r="H43" i="15" s="1"/>
  <c r="E88" i="4"/>
  <c r="E76" i="12"/>
  <c r="J63" i="8"/>
  <c r="I66" i="10" l="1"/>
  <c r="H36" i="15"/>
  <c r="J36" i="15" s="1"/>
  <c r="J43" i="15"/>
  <c r="J47" i="15" s="1"/>
  <c r="L47" i="15" s="1"/>
  <c r="H47" i="15"/>
  <c r="E10" i="2"/>
  <c r="A40" i="1"/>
  <c r="A42" i="1" s="1"/>
  <c r="A44" i="1" s="1"/>
  <c r="A46" i="1" s="1"/>
  <c r="A48" i="1" s="1"/>
  <c r="A50" i="1" s="1"/>
  <c r="A52" i="1" s="1"/>
  <c r="A54" i="1" s="1"/>
  <c r="A56" i="1" s="1"/>
  <c r="A58" i="1" s="1"/>
  <c r="A60" i="1" s="1"/>
  <c r="A62" i="1" s="1"/>
  <c r="E4" i="2"/>
  <c r="E4" i="13" s="1"/>
  <c r="A22" i="13"/>
  <c r="E21" i="2"/>
  <c r="D21" i="13"/>
  <c r="G53" i="2"/>
  <c r="H53" i="2" s="1"/>
  <c r="M2" i="6"/>
  <c r="G11" i="13"/>
  <c r="E11" i="13"/>
  <c r="K24" i="12"/>
  <c r="G11" i="2"/>
  <c r="E11" i="2"/>
  <c r="H5" i="13"/>
  <c r="E18" i="2"/>
  <c r="C16" i="4" s="1"/>
  <c r="E56" i="4"/>
  <c r="E19" i="2"/>
  <c r="D17" i="12"/>
  <c r="D18" i="12"/>
  <c r="D19" i="12"/>
  <c r="N79" i="12"/>
  <c r="I121" i="4"/>
  <c r="J8" i="4"/>
  <c r="D42" i="6"/>
  <c r="L5" i="6" s="1"/>
  <c r="L42" i="6" s="1"/>
  <c r="F5" i="4"/>
  <c r="F5" i="12"/>
  <c r="A24" i="12"/>
  <c r="H36" i="2"/>
  <c r="L20" i="4"/>
  <c r="L19" i="4"/>
  <c r="C19" i="4"/>
  <c r="L18" i="4"/>
  <c r="C18" i="4"/>
  <c r="L17" i="4"/>
  <c r="C17" i="4"/>
  <c r="O15" i="4"/>
  <c r="B15" i="4"/>
  <c r="O14" i="4"/>
  <c r="B14" i="4"/>
  <c r="N13" i="4"/>
  <c r="B13" i="4"/>
  <c r="L11" i="4"/>
  <c r="I11" i="4"/>
  <c r="E11" i="4"/>
  <c r="B11" i="4"/>
  <c r="O10" i="4"/>
  <c r="M10" i="4"/>
  <c r="I10" i="4"/>
  <c r="B10" i="4"/>
  <c r="O9" i="4"/>
  <c r="I9" i="4"/>
  <c r="O8" i="4"/>
  <c r="B8" i="4"/>
  <c r="J7" i="4"/>
  <c r="B7" i="4"/>
  <c r="B6" i="4"/>
  <c r="N4" i="4"/>
  <c r="J4" i="4"/>
  <c r="B5" i="4"/>
  <c r="M5" i="4"/>
  <c r="O2" i="4"/>
  <c r="O3" i="12"/>
  <c r="O15" i="12"/>
  <c r="O14" i="12"/>
  <c r="N18" i="12"/>
  <c r="B15" i="12"/>
  <c r="B10" i="12"/>
  <c r="H8" i="12"/>
  <c r="J7" i="12"/>
  <c r="O9" i="12"/>
  <c r="B9" i="12"/>
  <c r="L20" i="12"/>
  <c r="N17" i="12"/>
  <c r="E47" i="2"/>
  <c r="N13" i="12"/>
  <c r="O10" i="12"/>
  <c r="I10" i="12"/>
  <c r="B11" i="12"/>
  <c r="B5" i="12"/>
  <c r="B13" i="12"/>
  <c r="N19" i="12"/>
  <c r="D3" i="11"/>
  <c r="H3" i="11"/>
  <c r="E2" i="6"/>
  <c r="G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I7" i="6"/>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F42" i="6"/>
  <c r="N5" i="6" s="1"/>
  <c r="C21" i="4"/>
  <c r="B6" i="12"/>
  <c r="B7" i="12"/>
  <c r="B8" i="12"/>
  <c r="M5" i="12"/>
  <c r="M8" i="12"/>
  <c r="M10" i="12"/>
  <c r="B14" i="12"/>
  <c r="I4" i="12"/>
  <c r="B21" i="12"/>
  <c r="N4" i="12"/>
  <c r="L11" i="12"/>
  <c r="E11" i="12"/>
  <c r="I11" i="12"/>
  <c r="F47" i="2"/>
  <c r="G47" i="2"/>
  <c r="A11" i="1"/>
  <c r="A13" i="1" s="1"/>
  <c r="A15" i="1" s="1"/>
  <c r="A17" i="1" s="1"/>
  <c r="A19" i="1" s="1"/>
  <c r="A21" i="1" s="1"/>
  <c r="A23" i="1" s="1"/>
  <c r="A25" i="1" s="1"/>
  <c r="A27" i="1" s="1"/>
  <c r="A29" i="1" s="1"/>
  <c r="A31" i="1" s="1"/>
  <c r="A33" i="1" s="1"/>
  <c r="M10" i="6" l="1"/>
  <c r="M14" i="6"/>
  <c r="M18" i="6"/>
  <c r="M22" i="6"/>
  <c r="O22" i="6" s="1"/>
  <c r="M26" i="6"/>
  <c r="M30" i="6"/>
  <c r="M34" i="6"/>
  <c r="M38" i="6"/>
  <c r="O38" i="6" s="1"/>
  <c r="E8" i="6"/>
  <c r="G8" i="6" s="1"/>
  <c r="E12" i="6"/>
  <c r="E16" i="6"/>
  <c r="E20" i="6"/>
  <c r="G20" i="6" s="1"/>
  <c r="E24" i="6"/>
  <c r="G24" i="6" s="1"/>
  <c r="E28" i="6"/>
  <c r="E32" i="6"/>
  <c r="G32" i="6" s="1"/>
  <c r="E36" i="6"/>
  <c r="G36" i="6" s="1"/>
  <c r="E40" i="6"/>
  <c r="M17" i="6"/>
  <c r="M33" i="6"/>
  <c r="E7" i="6"/>
  <c r="G7" i="6" s="1"/>
  <c r="E15" i="6"/>
  <c r="G15" i="6" s="1"/>
  <c r="E27" i="6"/>
  <c r="G27" i="6" s="1"/>
  <c r="E39" i="6"/>
  <c r="G39" i="6" s="1"/>
  <c r="M7" i="6"/>
  <c r="O7" i="6" s="1"/>
  <c r="M11" i="6"/>
  <c r="M15" i="6"/>
  <c r="M19" i="6"/>
  <c r="O19" i="6" s="1"/>
  <c r="M23" i="6"/>
  <c r="M27" i="6"/>
  <c r="O27" i="6" s="1"/>
  <c r="M31" i="6"/>
  <c r="M35" i="6"/>
  <c r="O35" i="6" s="1"/>
  <c r="M39" i="6"/>
  <c r="E9" i="6"/>
  <c r="E13" i="6"/>
  <c r="E17" i="6"/>
  <c r="G17" i="6" s="1"/>
  <c r="E21" i="6"/>
  <c r="G21" i="6" s="1"/>
  <c r="E25" i="6"/>
  <c r="E29" i="6"/>
  <c r="G29" i="6" s="1"/>
  <c r="E33" i="6"/>
  <c r="G33" i="6" s="1"/>
  <c r="E37" i="6"/>
  <c r="G37" i="6" s="1"/>
  <c r="E41" i="6"/>
  <c r="M8" i="6"/>
  <c r="O8" i="6" s="1"/>
  <c r="M12" i="6"/>
  <c r="O12" i="6" s="1"/>
  <c r="M16" i="6"/>
  <c r="O16" i="6" s="1"/>
  <c r="M20" i="6"/>
  <c r="O20" i="6" s="1"/>
  <c r="M24" i="6"/>
  <c r="O24" i="6" s="1"/>
  <c r="M28" i="6"/>
  <c r="O28" i="6" s="1"/>
  <c r="M32" i="6"/>
  <c r="O32" i="6" s="1"/>
  <c r="M36" i="6"/>
  <c r="M40" i="6"/>
  <c r="O40" i="6" s="1"/>
  <c r="E10" i="6"/>
  <c r="G10" i="6" s="1"/>
  <c r="E14" i="6"/>
  <c r="E18" i="6"/>
  <c r="G18" i="6" s="1"/>
  <c r="E22" i="6"/>
  <c r="E26" i="6"/>
  <c r="G26" i="6" s="1"/>
  <c r="E30" i="6"/>
  <c r="E34" i="6"/>
  <c r="G34" i="6" s="1"/>
  <c r="E38" i="6"/>
  <c r="M9" i="6"/>
  <c r="O9" i="6" s="1"/>
  <c r="M13" i="6"/>
  <c r="O13" i="6" s="1"/>
  <c r="M21" i="6"/>
  <c r="M25" i="6"/>
  <c r="M29" i="6"/>
  <c r="M37" i="6"/>
  <c r="O37" i="6" s="1"/>
  <c r="E11" i="6"/>
  <c r="G11" i="6" s="1"/>
  <c r="E19" i="6"/>
  <c r="G19" i="6" s="1"/>
  <c r="E23" i="6"/>
  <c r="G23" i="6" s="1"/>
  <c r="E31" i="6"/>
  <c r="G31" i="6" s="1"/>
  <c r="E35" i="6"/>
  <c r="G35" i="6" s="1"/>
  <c r="E5" i="6"/>
  <c r="G5" i="6" s="1"/>
  <c r="M41" i="6"/>
  <c r="O41" i="6" s="1"/>
  <c r="E6" i="6"/>
  <c r="G6" i="6" s="1"/>
  <c r="M6" i="6"/>
  <c r="K117" i="4"/>
  <c r="K114" i="4"/>
  <c r="D16" i="12"/>
  <c r="E92" i="12"/>
  <c r="C33" i="2"/>
  <c r="G86" i="12"/>
  <c r="O70" i="4"/>
  <c r="L89" i="4" s="1"/>
  <c r="L90" i="4" s="1"/>
  <c r="H23" i="15"/>
  <c r="H39" i="13"/>
  <c r="M78" i="12"/>
  <c r="L49" i="15"/>
  <c r="L55" i="15" s="1"/>
  <c r="A21" i="12"/>
  <c r="O36" i="6"/>
  <c r="G38" i="6"/>
  <c r="G28" i="6"/>
  <c r="O59" i="4"/>
  <c r="N89" i="4" s="1"/>
  <c r="N90" i="4" s="1"/>
  <c r="O47" i="12"/>
  <c r="L77" i="12" s="1"/>
  <c r="L78" i="12" s="1"/>
  <c r="I108" i="4"/>
  <c r="I68" i="9"/>
  <c r="O52" i="12"/>
  <c r="O51" i="12"/>
  <c r="I69" i="9"/>
  <c r="O50" i="12"/>
  <c r="G89" i="12"/>
  <c r="L2" i="4"/>
  <c r="I109" i="4"/>
  <c r="K2" i="12"/>
  <c r="O63" i="4"/>
  <c r="O62" i="4"/>
  <c r="O57" i="4"/>
  <c r="O64" i="4"/>
  <c r="K95" i="4"/>
  <c r="C32" i="2"/>
  <c r="K5" i="5"/>
  <c r="K104" i="4"/>
  <c r="K101" i="4"/>
  <c r="O29" i="6"/>
  <c r="O21" i="6"/>
  <c r="G41" i="6"/>
  <c r="G30" i="6"/>
  <c r="G9" i="6"/>
  <c r="O33" i="6"/>
  <c r="O25" i="6"/>
  <c r="O17" i="6"/>
  <c r="G25" i="6"/>
  <c r="G14" i="6"/>
  <c r="G22" i="6"/>
  <c r="G12" i="6"/>
  <c r="I6" i="5"/>
  <c r="O30" i="6"/>
  <c r="O14" i="6"/>
  <c r="O11" i="6"/>
  <c r="G16" i="6"/>
  <c r="O39" i="6"/>
  <c r="O34" i="6"/>
  <c r="O31" i="6"/>
  <c r="O26" i="6"/>
  <c r="O23" i="6"/>
  <c r="O18" i="6"/>
  <c r="O15" i="6"/>
  <c r="O10" i="6"/>
  <c r="G40" i="6"/>
  <c r="G13" i="6"/>
  <c r="G104" i="4" l="1"/>
  <c r="G92" i="12"/>
  <c r="K98" i="4"/>
  <c r="E104" i="4"/>
  <c r="K92" i="12"/>
  <c r="K86" i="12"/>
  <c r="K83" i="12"/>
  <c r="G98" i="4"/>
  <c r="J23" i="15"/>
  <c r="I77" i="12"/>
  <c r="I78" i="12" s="1"/>
  <c r="G101" i="4"/>
  <c r="K89" i="12"/>
  <c r="H47" i="2"/>
  <c r="A48" i="2" s="1"/>
  <c r="I89" i="4"/>
  <c r="L5" i="5"/>
  <c r="O22" i="12"/>
  <c r="O22" i="4"/>
  <c r="M121" i="4" s="1"/>
  <c r="K102" i="4"/>
  <c r="K105" i="4"/>
  <c r="K97" i="12"/>
  <c r="K98" i="12" s="1"/>
  <c r="G117" i="4"/>
  <c r="G100" i="12"/>
  <c r="K100" i="12"/>
  <c r="K101" i="12" s="1"/>
  <c r="J22" i="12"/>
  <c r="J21" i="4"/>
  <c r="J21" i="12"/>
  <c r="J22" i="4"/>
  <c r="G42" i="6"/>
  <c r="E42" i="6"/>
  <c r="M5" i="6" s="1"/>
  <c r="K118" i="4" l="1"/>
  <c r="K115" i="4"/>
  <c r="K99" i="4"/>
  <c r="L6" i="5"/>
  <c r="L7" i="5" s="1"/>
  <c r="K96" i="4"/>
  <c r="O21" i="4"/>
  <c r="M23" i="4" s="1"/>
  <c r="K90" i="12"/>
  <c r="M31" i="7"/>
  <c r="O31" i="7" s="1"/>
  <c r="M30" i="7"/>
  <c r="O30" i="7" s="1"/>
  <c r="M7" i="7"/>
  <c r="O7" i="7" s="1"/>
  <c r="M10" i="7"/>
  <c r="O10" i="7" s="1"/>
  <c r="M23" i="7"/>
  <c r="O23" i="7" s="1"/>
  <c r="M27" i="7"/>
  <c r="O27" i="7" s="1"/>
  <c r="M12" i="7"/>
  <c r="O12" i="7" s="1"/>
  <c r="M15" i="7"/>
  <c r="O15" i="7" s="1"/>
  <c r="M25" i="7"/>
  <c r="O25" i="7" s="1"/>
  <c r="M28" i="7"/>
  <c r="O28" i="7" s="1"/>
  <c r="M16" i="7"/>
  <c r="O16" i="7" s="1"/>
  <c r="M26" i="7"/>
  <c r="O26" i="7" s="1"/>
  <c r="M29" i="7"/>
  <c r="O29" i="7" s="1"/>
  <c r="M32" i="7"/>
  <c r="O32" i="7" s="1"/>
  <c r="M13" i="7"/>
  <c r="O13" i="7" s="1"/>
  <c r="M9" i="7"/>
  <c r="O9" i="7" s="1"/>
  <c r="M8" i="7"/>
  <c r="O8" i="7" s="1"/>
  <c r="M11" i="7"/>
  <c r="O11" i="7" s="1"/>
  <c r="M14" i="7"/>
  <c r="O14" i="7" s="1"/>
  <c r="M24" i="7"/>
  <c r="O24" i="7" s="1"/>
  <c r="O21" i="12"/>
  <c r="D26" i="2"/>
  <c r="D20" i="12" s="1"/>
  <c r="H24" i="15"/>
  <c r="H29" i="15" s="1"/>
  <c r="K93" i="12"/>
  <c r="K87" i="12"/>
  <c r="K84" i="12"/>
  <c r="H89" i="4"/>
  <c r="H90" i="4" s="1"/>
  <c r="I90" i="4"/>
  <c r="O121" i="4"/>
  <c r="O48" i="4" s="1"/>
  <c r="M108" i="4"/>
  <c r="O5" i="6"/>
  <c r="L8" i="5" l="1"/>
  <c r="L9" i="5" s="1"/>
  <c r="I86" i="12"/>
  <c r="G56" i="4"/>
  <c r="I83" i="12"/>
  <c r="I89" i="12"/>
  <c r="I92" i="12"/>
  <c r="I23" i="4"/>
  <c r="K109" i="4"/>
  <c r="I104" i="4"/>
  <c r="I98" i="4"/>
  <c r="K108" i="4"/>
  <c r="O108" i="4" s="1"/>
  <c r="O37" i="4" s="1"/>
  <c r="I95" i="4"/>
  <c r="I101" i="4"/>
  <c r="K23" i="4"/>
  <c r="M23" i="12"/>
  <c r="K23" i="12"/>
  <c r="I23" i="12"/>
  <c r="J24" i="15"/>
  <c r="J29" i="15" s="1"/>
  <c r="L29" i="15" s="1"/>
  <c r="C20" i="4"/>
  <c r="O17" i="7"/>
  <c r="O33" i="7"/>
  <c r="H77" i="12"/>
  <c r="H78" i="12" s="1"/>
  <c r="O23" i="4" l="1"/>
  <c r="O24" i="4" s="1"/>
  <c r="M95" i="4" s="1"/>
  <c r="O95" i="4" s="1"/>
  <c r="O27" i="4" s="1"/>
  <c r="O35" i="7"/>
  <c r="O86" i="7" s="1"/>
  <c r="O49" i="12" s="1"/>
  <c r="O23" i="12"/>
  <c r="M24" i="12" s="1"/>
  <c r="O24" i="12" s="1"/>
  <c r="O44" i="12" s="1"/>
  <c r="M100" i="12"/>
  <c r="O100" i="12" s="1"/>
  <c r="O38" i="12" s="1"/>
  <c r="M101" i="4"/>
  <c r="O101" i="4" s="1"/>
  <c r="O31" i="4" s="1"/>
  <c r="M104" i="4"/>
  <c r="O104" i="4" s="1"/>
  <c r="O33" i="4" s="1"/>
  <c r="M83" i="12"/>
  <c r="O83" i="12" s="1"/>
  <c r="O26" i="12" s="1"/>
  <c r="O61" i="4" l="1"/>
  <c r="O65" i="4" s="1"/>
  <c r="M114" i="4"/>
  <c r="O114" i="4" s="1"/>
  <c r="O42" i="4" s="1"/>
  <c r="M117" i="4"/>
  <c r="O117" i="4" s="1"/>
  <c r="O44" i="4" s="1"/>
  <c r="I56" i="4"/>
  <c r="K56" i="4" s="1"/>
  <c r="O56" i="4" s="1"/>
  <c r="M98" i="4"/>
  <c r="O98" i="4" s="1"/>
  <c r="O29" i="4" s="1"/>
  <c r="M122" i="4"/>
  <c r="O122" i="4" s="1"/>
  <c r="M109" i="4"/>
  <c r="O109" i="4" s="1"/>
  <c r="O38" i="4" s="1"/>
  <c r="M92" i="12"/>
  <c r="O92" i="12" s="1"/>
  <c r="O32" i="12" s="1"/>
  <c r="O37" i="7"/>
  <c r="O88" i="7"/>
  <c r="O53" i="12" s="1"/>
  <c r="H34" i="15"/>
  <c r="H50" i="15" s="1"/>
  <c r="M86" i="12"/>
  <c r="O86" i="12" s="1"/>
  <c r="O28" i="12" s="1"/>
  <c r="M89" i="12"/>
  <c r="O89" i="12" s="1"/>
  <c r="O30" i="12" s="1"/>
  <c r="M97" i="12"/>
  <c r="O97" i="12" s="1"/>
  <c r="O36" i="12" s="1"/>
  <c r="E77" i="12"/>
  <c r="E78" i="12" s="1"/>
  <c r="E89" i="4" l="1"/>
  <c r="E90" i="4" s="1"/>
  <c r="O49" i="4"/>
  <c r="O119" i="4"/>
  <c r="O46" i="4" s="1"/>
  <c r="O106" i="4"/>
  <c r="O55" i="4" s="1"/>
  <c r="O58" i="4" s="1"/>
  <c r="J34" i="15"/>
  <c r="H38" i="15"/>
  <c r="O103" i="12"/>
  <c r="O40" i="12" s="1"/>
  <c r="O95" i="12"/>
  <c r="O124" i="4" l="1"/>
  <c r="O51" i="4" s="1"/>
  <c r="O35" i="4"/>
  <c r="O39" i="4" s="1"/>
  <c r="O111" i="4"/>
  <c r="O104" i="12"/>
  <c r="O41" i="12" s="1"/>
  <c r="J38" i="15"/>
  <c r="L38" i="15" s="1"/>
  <c r="J50" i="15"/>
  <c r="O34" i="12"/>
  <c r="O52" i="4" l="1"/>
  <c r="O125" i="4"/>
  <c r="O53" i="4" s="1"/>
  <c r="O66" i="4" s="1"/>
  <c r="O42" i="12"/>
  <c r="I71" i="9" s="1"/>
  <c r="C76" i="12" s="1"/>
  <c r="I70" i="9" l="1"/>
  <c r="O45" i="12" s="1"/>
  <c r="O46" i="12" s="1"/>
  <c r="O54" i="12" s="1"/>
  <c r="C88" i="4"/>
  <c r="C89" i="4" s="1"/>
  <c r="C90" i="4" s="1"/>
  <c r="C77" i="12" l="1"/>
  <c r="C78" i="12" s="1"/>
  <c r="N42" i="6"/>
  <c r="M42" i="6"/>
  <c r="O6" i="6"/>
  <c r="O42" i="6" s="1"/>
  <c r="B76" i="12" s="1"/>
  <c r="J42" i="6" l="1"/>
  <c r="O67" i="4"/>
  <c r="K76" i="12"/>
  <c r="K88" i="4"/>
  <c r="B77" i="12"/>
  <c r="B78" i="12" s="1"/>
  <c r="B88" i="4"/>
  <c r="L19" i="15" s="1"/>
  <c r="L53" i="15" s="1"/>
  <c r="O55" i="12"/>
  <c r="M68" i="4" l="1"/>
  <c r="O68" i="4"/>
  <c r="M71" i="4"/>
  <c r="L54" i="15"/>
  <c r="L56" i="15" s="1"/>
  <c r="H54" i="15"/>
  <c r="I56" i="12"/>
  <c r="I59" i="12"/>
  <c r="O56" i="12"/>
  <c r="O88" i="4"/>
  <c r="B89" i="4"/>
  <c r="N76" i="12"/>
  <c r="K69" i="4" l="1"/>
  <c r="O69" i="4" s="1"/>
  <c r="K89" i="4" s="1"/>
  <c r="K90" i="4" s="1"/>
  <c r="B90" i="4"/>
  <c r="K57" i="12"/>
  <c r="O57" i="12" s="1"/>
  <c r="K77" i="12" s="1"/>
  <c r="K78" i="12" s="1"/>
  <c r="N78" i="12" s="1"/>
  <c r="N77" i="12" s="1"/>
  <c r="O90" i="4" l="1"/>
  <c r="O89" i="4"/>
  <c r="O71" i="4"/>
  <c r="O59" i="12"/>
  <c r="O85" i="4" l="1"/>
</calcChain>
</file>

<file path=xl/comments1.xml><?xml version="1.0" encoding="utf-8"?>
<comments xmlns="http://schemas.openxmlformats.org/spreadsheetml/2006/main">
  <authors>
    <author>BEAURAIN</author>
    <author>charles beaurain</author>
    <author>Charles Beaurain</author>
    <author>Charles</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E21" authorId="1" shapeId="0">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shapeId="0">
      <text>
        <r>
          <rPr>
            <sz val="11"/>
            <color indexed="10"/>
            <rFont val="Arial"/>
            <family val="2"/>
          </rPr>
          <t>Insert the percentage tendered . In case of an appointment i.t.o the Standard Letter of Appointment, insert 100.</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3" authorId="0" shapeId="0">
      <text>
        <r>
          <rPr>
            <sz val="10"/>
            <color indexed="81"/>
            <rFont val="Tahoma"/>
            <family val="2"/>
          </rPr>
          <t xml:space="preserve">Costs of lifts and generators must be included.
</t>
        </r>
      </text>
    </comment>
    <comment ref="F43" authorId="0" shapeId="0">
      <text>
        <r>
          <rPr>
            <sz val="10"/>
            <color indexed="81"/>
            <rFont val="Tahoma"/>
            <family val="2"/>
          </rPr>
          <t xml:space="preserve">Costs of lifts and generators must be included.
</t>
        </r>
      </text>
    </comment>
    <comment ref="G43" authorId="0" shapeId="0">
      <text>
        <r>
          <rPr>
            <sz val="10"/>
            <color indexed="81"/>
            <rFont val="Tahoma"/>
            <family val="2"/>
          </rPr>
          <t xml:space="preserve">Costs of lifts and generators must be included.
</t>
        </r>
      </text>
    </comment>
    <comment ref="E44" authorId="0" shapeId="0">
      <text>
        <r>
          <rPr>
            <sz val="10"/>
            <color indexed="81"/>
            <rFont val="Tahoma"/>
            <family val="2"/>
          </rPr>
          <t xml:space="preserve">Costs of lifts and generators must be included.
</t>
        </r>
      </text>
    </comment>
    <comment ref="F44" authorId="0" shapeId="0">
      <text>
        <r>
          <rPr>
            <sz val="10"/>
            <color indexed="81"/>
            <rFont val="Tahoma"/>
            <family val="2"/>
          </rPr>
          <t xml:space="preserve">Costs of lifts and generators must be included.
</t>
        </r>
      </text>
    </comment>
    <comment ref="G44" authorId="0" shapeId="0">
      <text>
        <r>
          <rPr>
            <sz val="10"/>
            <color indexed="81"/>
            <rFont val="Tahoma"/>
            <family val="2"/>
          </rPr>
          <t xml:space="preserve">Costs of lifts and generators must be included.
</t>
        </r>
      </text>
    </comment>
    <comment ref="E45" authorId="0" shapeId="0">
      <text>
        <r>
          <rPr>
            <sz val="10"/>
            <color indexed="81"/>
            <rFont val="Tahoma"/>
            <family val="2"/>
          </rPr>
          <t xml:space="preserve">Costs of lifts and generators must be included.
</t>
        </r>
      </text>
    </comment>
    <comment ref="F45" authorId="0" shapeId="0">
      <text>
        <r>
          <rPr>
            <sz val="10"/>
            <color indexed="81"/>
            <rFont val="Tahoma"/>
            <family val="2"/>
          </rPr>
          <t xml:space="preserve">Costs of lifts and generators must be included.
</t>
        </r>
      </text>
    </comment>
    <comment ref="G45" authorId="0" shapeId="0">
      <text>
        <r>
          <rPr>
            <sz val="10"/>
            <color indexed="81"/>
            <rFont val="Tahoma"/>
            <family val="2"/>
          </rPr>
          <t xml:space="preserve">Costs of lifts and generators must be included.
</t>
        </r>
      </text>
    </comment>
    <comment ref="E46" authorId="0" shapeId="0">
      <text>
        <r>
          <rPr>
            <sz val="10"/>
            <color indexed="81"/>
            <rFont val="Tahoma"/>
            <family val="2"/>
          </rPr>
          <t xml:space="preserve">Costs of lifts and generators must be included.
</t>
        </r>
      </text>
    </comment>
    <comment ref="F46" authorId="0" shapeId="0">
      <text>
        <r>
          <rPr>
            <sz val="10"/>
            <color indexed="81"/>
            <rFont val="Tahoma"/>
            <family val="2"/>
          </rPr>
          <t xml:space="preserve">Costs of lifts and generators must be included.
</t>
        </r>
      </text>
    </comment>
    <comment ref="G46" authorId="0" shapeId="0">
      <text>
        <r>
          <rPr>
            <sz val="10"/>
            <color indexed="81"/>
            <rFont val="Tahoma"/>
            <family val="2"/>
          </rPr>
          <t xml:space="preserve">Costs of lifts and generators must be included.
</t>
        </r>
      </text>
    </comment>
    <comment ref="E49" authorId="3" shapeId="0">
      <text>
        <r>
          <rPr>
            <sz val="12"/>
            <color indexed="10"/>
            <rFont val="Tahoma"/>
            <family val="2"/>
          </rPr>
          <t>Only complete in case consultant is appointed as Principal Agent</t>
        </r>
        <r>
          <rPr>
            <sz val="8"/>
            <color indexed="81"/>
            <rFont val="Tahoma"/>
            <family val="2"/>
          </rPr>
          <t xml:space="preserve">
</t>
        </r>
      </text>
    </comment>
    <comment ref="F49" authorId="3" shapeId="0">
      <text>
        <r>
          <rPr>
            <sz val="12"/>
            <color indexed="10"/>
            <rFont val="Tahoma"/>
            <family val="2"/>
          </rPr>
          <t>Only complete in case consultant is appointed as Principal Agent</t>
        </r>
        <r>
          <rPr>
            <sz val="8"/>
            <color indexed="81"/>
            <rFont val="Tahoma"/>
            <family val="2"/>
          </rPr>
          <t xml:space="preserve">
</t>
        </r>
      </text>
    </comment>
    <comment ref="G49" authorId="3" shapeId="0">
      <text>
        <r>
          <rPr>
            <sz val="12"/>
            <color indexed="10"/>
            <rFont val="Tahoma"/>
            <family val="2"/>
          </rPr>
          <t>Only complete in case consultant is appointed as Principal Agent</t>
        </r>
        <r>
          <rPr>
            <sz val="8"/>
            <color indexed="81"/>
            <rFont val="Tahoma"/>
            <family val="2"/>
          </rPr>
          <t xml:space="preserve">
</t>
        </r>
      </text>
    </comment>
    <comment ref="G51" authorId="0" shapeId="0">
      <text>
        <r>
          <rPr>
            <sz val="10"/>
            <color indexed="81"/>
            <rFont val="Tahoma"/>
            <family val="2"/>
          </rPr>
          <t xml:space="preserve">Costs of lifts and generators must be included.
</t>
        </r>
      </text>
    </comment>
    <comment ref="G52" authorId="0" shapeId="0">
      <text>
        <r>
          <rPr>
            <sz val="10"/>
            <color indexed="81"/>
            <rFont val="Tahoma"/>
            <family val="2"/>
          </rPr>
          <t xml:space="preserve">Costs of lifts and generators must be included.
</t>
        </r>
      </text>
    </comment>
    <comment ref="G54" authorId="3" shapeId="0">
      <text>
        <r>
          <rPr>
            <sz val="12"/>
            <color indexed="10"/>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Charles</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sz val="12"/>
            <color indexed="10"/>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E21" authorId="1" shapeId="0">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shapeId="0">
      <text>
        <r>
          <rPr>
            <sz val="11"/>
            <color indexed="10"/>
            <rFont val="Arial"/>
            <family val="2"/>
          </rPr>
          <t>Insert the percentage tendered . In case of an appointment i.t.o the Standard Letter of Appointment, insert 100.</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3" authorId="3" shapeId="0">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3.xml><?xml version="1.0" encoding="utf-8"?>
<comments xmlns="http://schemas.openxmlformats.org/spreadsheetml/2006/main">
  <authors>
    <author>Charles Beaurain</author>
  </authors>
  <commentList>
    <comment ref="O4" authorId="0" shape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20" authorId="0" shape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<sst xmlns="http://schemas.openxmlformats.org/spreadsheetml/2006/main" count="1221" uniqueCount="650">
  <si>
    <t>PLUS VAT @</t>
  </si>
  <si>
    <t xml:space="preserve"> x</t>
  </si>
  <si>
    <t xml:space="preserve"> x {</t>
  </si>
  <si>
    <t>)}=</t>
  </si>
  <si>
    <t>Date</t>
  </si>
  <si>
    <t>Rate</t>
  </si>
  <si>
    <t>Total</t>
  </si>
  <si>
    <t>Amount</t>
  </si>
  <si>
    <t>DATE</t>
  </si>
  <si>
    <t>Hours</t>
  </si>
  <si>
    <t>Hotel Name</t>
  </si>
  <si>
    <t>Delivered to</t>
  </si>
  <si>
    <t>Size</t>
  </si>
  <si>
    <t>Type</t>
  </si>
  <si>
    <t>1. Typing</t>
  </si>
  <si>
    <t>2. Duplicating</t>
  </si>
  <si>
    <t>Description of Document</t>
  </si>
  <si>
    <t>Pages</t>
  </si>
  <si>
    <t>ADDRESS:</t>
  </si>
  <si>
    <t>SERVICE:</t>
  </si>
  <si>
    <t>INVOICE NUMBER:</t>
  </si>
  <si>
    <t>TOTAL PROFESSIONAL FEES DUE (a) + (b)</t>
  </si>
  <si>
    <t>OF</t>
  </si>
  <si>
    <t>NOTE:</t>
  </si>
  <si>
    <t>x</t>
  </si>
  <si>
    <t>Designation</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</si>
  <si>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</si>
  <si>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</si>
  <si>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</si>
  <si>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</si>
  <si>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</si>
  <si>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</si>
  <si>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</si>
  <si>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</si>
  <si>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</si>
  <si>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</si>
  <si>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</si>
  <si>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</si>
  <si>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</si>
  <si>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</si>
  <si>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</si>
  <si>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</si>
  <si>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</si>
  <si>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</si>
  <si>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</si>
  <si>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</si>
  <si>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</si>
  <si>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</si>
  <si>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</si>
  <si>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</si>
  <si>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</si>
  <si>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</si>
  <si>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</si>
  <si>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</si>
  <si>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</si>
  <si>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</si>
  <si>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</si>
  <si>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</si>
  <si>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</si>
  <si>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</si>
  <si>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</si>
  <si>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</si>
  <si>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</si>
  <si>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</si>
  <si>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</si>
  <si>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</si>
  <si>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</si>
  <si>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</si>
  <si>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</si>
  <si>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</si>
  <si>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</si>
  <si>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</si>
  <si>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</si>
  <si>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</si>
  <si>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</si>
  <si>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</si>
  <si>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</si>
  <si>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</si>
  <si>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</si>
  <si>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</si>
  <si>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</si>
  <si>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</si>
  <si>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</si>
  <si>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</si>
  <si>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</si>
  <si>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</si>
  <si>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</si>
  <si>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</si>
  <si>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</si>
  <si>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</si>
  <si>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</si>
  <si>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</si>
  <si>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</si>
  <si>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</si>
  <si>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</si>
  <si>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</si>
  <si>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SERVICE: DESCRIPTION</t>
  </si>
  <si>
    <t>+</t>
  </si>
  <si>
    <t>MAXIMUM FOR "AGENT OF THE CLIENT"</t>
  </si>
  <si>
    <t>TYPE OF PROJECT:</t>
  </si>
  <si>
    <t>ELECTRICAL ENGINEERING PROJECT</t>
  </si>
  <si>
    <t>TAX INVOICE</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</si>
  <si>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</si>
  <si>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</si>
  <si>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</si>
  <si>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</si>
  <si>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</si>
  <si>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</si>
  <si>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</si>
  <si>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</si>
  <si>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</si>
  <si>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</si>
  <si>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</si>
  <si>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</si>
  <si>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</si>
  <si>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TARGETED PROCUREMENT (Only on Engineering project) (Y/N)</t>
  </si>
  <si>
    <t>AGENT OF THE CLIENT (OHSA) (Only on Engineering project) (Y/N)</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</si>
  <si>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</si>
  <si>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</si>
  <si>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</si>
  <si>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</si>
  <si>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</si>
  <si>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</si>
  <si>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</si>
  <si>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</si>
  <si>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GROUND RULES</t>
  </si>
  <si>
    <t>COMPANY REGISTRATION NUMBER</t>
  </si>
  <si>
    <t>NOTES PERTAINING TO THE COMPLETION OF THE WORKBOOK.</t>
  </si>
  <si>
    <t>N</t>
  </si>
  <si>
    <t>TELEPHONE &amp; FACSIMILE NUMBERS</t>
  </si>
  <si>
    <t>FEES CODE (YEAR)</t>
  </si>
  <si>
    <t xml:space="preserve">ELECTRICAL/ELECTRONIC ENGINEERING SERVICES </t>
  </si>
  <si>
    <r>
      <t xml:space="preserve">When typing </t>
    </r>
    <r>
      <rPr>
        <b/>
        <sz val="10"/>
        <rFont val="Arial"/>
        <family val="2"/>
      </rPr>
      <t>amounts</t>
    </r>
    <r>
      <rPr>
        <sz val="10"/>
        <rFont val="Arial"/>
        <family val="2"/>
      </rPr>
      <t xml:space="preserve"> only type the value. No "R" in front and no spaces between the numbers.</t>
    </r>
  </si>
  <si>
    <t>POSTAL ADDRESS:</t>
  </si>
  <si>
    <r>
      <t xml:space="preserve">CONSTRUCTION AND COMPLETION STAGE. </t>
    </r>
    <r>
      <rPr>
        <b/>
        <i/>
        <sz val="12"/>
        <color indexed="10"/>
        <rFont val="Arial"/>
        <family val="2"/>
      </rPr>
      <t>ALL VALUES MUST INCLUDE RELEVANT PROPORTION OF P&amp;G AND CPA.</t>
    </r>
  </si>
  <si>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</si>
  <si>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</si>
  <si>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</si>
  <si>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</si>
  <si>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</si>
  <si>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</si>
  <si>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</si>
  <si>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</si>
  <si>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</si>
  <si>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</si>
  <si>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</si>
  <si>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</si>
  <si>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REPORT STAGE (Only if specifically appointed for this stage)</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</si>
  <si>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</si>
  <si>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</si>
  <si>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</si>
  <si>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</si>
  <si>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</si>
  <si>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1</t>
  </si>
  <si>
    <t>CARRIED OVER</t>
  </si>
  <si>
    <t>38</t>
  </si>
  <si>
    <t xml:space="preserve">CONSTRUCTION MONITORING  &amp; OTHER </t>
  </si>
  <si>
    <t>Toll Gate</t>
  </si>
  <si>
    <t>INPUT ALL INFORMATION FOR THE WHOLE PROJECT</t>
  </si>
  <si>
    <t>NOTE: ALL ITEMS MUST EXCLUDE VAT</t>
  </si>
  <si>
    <t xml:space="preserve">Report: Time Based fees </t>
  </si>
  <si>
    <t>PERCENTAGE OF FEE TENDERED</t>
  </si>
  <si>
    <t>TENDERED PERCENTAGE OF STANDARD FEES</t>
  </si>
  <si>
    <t>DUE</t>
  </si>
  <si>
    <t>(Not applicable in case of a tender for professional services)</t>
  </si>
  <si>
    <t>DRAWING NUMBER</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</si>
  <si>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</si>
  <si>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</si>
  <si>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</si>
  <si>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</si>
  <si>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POSTAL ADDRESS</t>
  </si>
  <si>
    <t>POST OFFICE</t>
  </si>
  <si>
    <t>POSTAL CODE</t>
  </si>
  <si>
    <t>E-Mail</t>
  </si>
  <si>
    <t>CLIENT</t>
  </si>
  <si>
    <t>TEL NO</t>
  </si>
  <si>
    <t>FAX NO</t>
  </si>
  <si>
    <t>FAX-TO-EMAIL</t>
  </si>
  <si>
    <t>E-MAIL</t>
  </si>
  <si>
    <t>CALCULATION OF BASIC FEE</t>
  </si>
  <si>
    <t>VAT REGISTRATION NO</t>
  </si>
  <si>
    <t>FILE NUMBER:</t>
  </si>
  <si>
    <t>TEL</t>
  </si>
  <si>
    <t xml:space="preserve"> Report: Time Based fees </t>
  </si>
  <si>
    <t>Time Based fees: Other</t>
  </si>
  <si>
    <t>E-MAIL ADDRESS</t>
  </si>
  <si>
    <t>FAX</t>
  </si>
  <si>
    <t xml:space="preserve">PROJECT MAN.: </t>
  </si>
  <si>
    <t>TOWN/CITY</t>
  </si>
  <si>
    <t>STREET &amp; NO</t>
  </si>
  <si>
    <t>CODE</t>
  </si>
  <si>
    <t>CELL PHONE NO</t>
  </si>
  <si>
    <t>TOWN</t>
  </si>
  <si>
    <t>DRAWING NO:</t>
  </si>
  <si>
    <t>CELL:</t>
  </si>
  <si>
    <t>CELL</t>
  </si>
  <si>
    <t>INVOICE NO:</t>
  </si>
  <si>
    <t>+ (</t>
  </si>
  <si>
    <t>)=</t>
  </si>
  <si>
    <t>(</t>
  </si>
  <si>
    <t>}=</t>
  </si>
  <si>
    <t>If(STAGE COMPLETED:</t>
  </si>
  <si>
    <t>FACTOR</t>
  </si>
  <si>
    <t>DPW PROJECT MANAGER</t>
  </si>
  <si>
    <t>DPW FILE NUMBER:</t>
  </si>
  <si>
    <t>NATIONAL DEPARTMENT OF PUBLIC WORKS</t>
  </si>
  <si>
    <t>WCS  NO.</t>
  </si>
  <si>
    <t>WORKBOOK FOR THE CALCULATION OF CONSULTING ENGINEER'S FEES IN TERMS OF THE GUIDELINE FOR SERVICES AND FEES PUBLISHED BY ECSA AS AMENDED BY NDPW</t>
  </si>
  <si>
    <t>EE10</t>
  </si>
  <si>
    <t>WCS NO.</t>
  </si>
  <si>
    <t>WCS NO</t>
  </si>
  <si>
    <t>WCS NO:</t>
  </si>
  <si>
    <t>WCS NO..</t>
  </si>
  <si>
    <t>CONSULTANT</t>
  </si>
  <si>
    <t>TARGETED/PREFERENTIAL PROCUREMENT</t>
  </si>
  <si>
    <t>TOTAL CLAIM</t>
  </si>
  <si>
    <t>TOTAL FEES FOR INCEPTION, DESIGN &amp; TENDER STAGE (a)</t>
  </si>
  <si>
    <t>TOTAL FOR CONSTRUCTION AND CLOSE-OUT STAGE (b)</t>
  </si>
  <si>
    <t>TOTAL FEES (EXCL VAT)</t>
  </si>
  <si>
    <t>WCS CONTRACT NO</t>
  </si>
  <si>
    <t>%</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</si>
  <si>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</si>
  <si>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</si>
  <si>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</si>
  <si>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</si>
  <si>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</si>
  <si>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</si>
  <si>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</si>
  <si>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</si>
  <si>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</si>
  <si>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</si>
  <si>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</si>
  <si>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</si>
  <si>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</si>
  <si>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</si>
  <si>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</si>
  <si>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</si>
  <si>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</si>
  <si>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</si>
  <si>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</si>
  <si>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</si>
  <si>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</si>
  <si>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TOTAL DISBURSEMENTS (d)</t>
  </si>
  <si>
    <t>CALCULATIONS</t>
  </si>
  <si>
    <t>PAGE 2</t>
  </si>
  <si>
    <t>ELECTRICAL/ELECTRONIC ENGINEERING SERVICES</t>
  </si>
  <si>
    <t xml:space="preserve">ELECTRICAL/ELECTRONIC ENGINEERING SERVICES: </t>
  </si>
  <si>
    <t>FROM:</t>
  </si>
  <si>
    <t>ESTIMATES</t>
  </si>
  <si>
    <t>TOTAL VALUE OF ALL ALTERATIONS TO EXISTING FACILITIES COMPLETED NOT AFFECTED BY ANY FACTOR OTHER THAN 1.25.</t>
  </si>
  <si>
    <t>TOTAL VALUE OF  NEW WORK NOT AFFECTED BY ANY FACTORS</t>
  </si>
  <si>
    <t>FEE FOR NEW WORK NOT AFFECTED BY ANY FACTORS</t>
  </si>
  <si>
    <t xml:space="preserve">FEE FOR NEW WORK,  NOT AFFECTED BY ANY FACTORS. </t>
  </si>
  <si>
    <t xml:space="preserve"> FEE FOR NEW WORK NOT AFFECTED BY ANY FACTORS</t>
  </si>
  <si>
    <t>OFFICE ADDRESS</t>
  </si>
  <si>
    <t>CONSULTANT OFFICE ADDRESS</t>
  </si>
  <si>
    <t>CONSULTANT REF NO:</t>
  </si>
  <si>
    <t>PAGE II</t>
  </si>
  <si>
    <t>BILL OF QUANTITY BY CONSULTING ENGINEER - NO QUANTITY SURVEYOR APPOINTED (Y/N)</t>
  </si>
  <si>
    <t>CONSULTANT'S REF. NUMBER:</t>
  </si>
  <si>
    <t>PM TEL</t>
  </si>
  <si>
    <t>A6089/002/9</t>
  </si>
  <si>
    <t>NELSPRUIT: New Police Station</t>
  </si>
  <si>
    <t>John Engineer CC</t>
  </si>
  <si>
    <t>P O Box 11111, Boksburg</t>
  </si>
  <si>
    <t>Brightstar building 214, Peach str 1023, Boksburg</t>
  </si>
  <si>
    <t>011 769 3011</t>
  </si>
  <si>
    <t>011 769 3456</t>
  </si>
  <si>
    <t>082 344 6756</t>
  </si>
  <si>
    <t>je@telkom.net</t>
  </si>
  <si>
    <t>1245603865</t>
  </si>
  <si>
    <t>400-45678-10</t>
  </si>
  <si>
    <t>EE 56789/001/6</t>
  </si>
  <si>
    <t>Private Bag X65</t>
  </si>
  <si>
    <t>PRETORIA</t>
  </si>
  <si>
    <t>0001</t>
  </si>
  <si>
    <t>Public Works House</t>
  </si>
  <si>
    <t>Pretorius Street 445</t>
  </si>
  <si>
    <t>0002</t>
  </si>
  <si>
    <t>012 337 2000</t>
  </si>
  <si>
    <t>012 337 3276</t>
  </si>
  <si>
    <t>086 666 0000</t>
  </si>
  <si>
    <t>ServiceDPW567/102</t>
  </si>
  <si>
    <t>DPW/001</t>
  </si>
  <si>
    <r>
      <t xml:space="preserve">  </t>
    </r>
    <r>
      <rPr>
        <b/>
        <u/>
        <sz val="16"/>
        <rFont val="Arial"/>
        <family val="2"/>
      </rPr>
      <t xml:space="preserve"> TO</t>
    </r>
  </si>
  <si>
    <t>NOT REGISTERED</t>
  </si>
  <si>
    <t>012 337 2345</t>
  </si>
  <si>
    <t>082 699 3459</t>
  </si>
  <si>
    <t>086 610 0300</t>
  </si>
  <si>
    <t>Paul Mashinga</t>
  </si>
  <si>
    <t>paul.mashinga@dpw.gov.za</t>
  </si>
  <si>
    <t>FAX 2</t>
  </si>
  <si>
    <t>CONSULTING ENG.</t>
  </si>
  <si>
    <t>CONSULTINGENG.</t>
  </si>
  <si>
    <t>CONSULTANT's  REF</t>
  </si>
  <si>
    <t xml:space="preserve">  TO:  </t>
  </si>
  <si>
    <r>
      <t>INCEPTION, PRELIMINARY DESIGN: CONCEPT AND VIABILITY &amp; DETAIL DESIGN &amp; DOCUMENTATION AND PROCUREMENT.</t>
    </r>
    <r>
      <rPr>
        <b/>
        <i/>
        <sz val="12"/>
        <color indexed="10"/>
        <rFont val="Arial"/>
        <family val="2"/>
      </rPr>
      <t xml:space="preserve"> ALL VALUES MUST INCLUDE RELEVANT PROPORTION OF P&amp;G AND CPA DURING CONSTRUCTION STAGE.</t>
    </r>
  </si>
  <si>
    <t/>
  </si>
  <si>
    <t>PERCENTAGE BASED FEES</t>
  </si>
  <si>
    <t>STAGE COMPLETED</t>
  </si>
  <si>
    <t>FACSIMILE  NO:</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</si>
  <si>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</si>
  <si>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</si>
  <si>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</si>
  <si>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</si>
  <si>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</si>
  <si>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</si>
  <si>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</si>
  <si>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</si>
  <si>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</si>
  <si>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</si>
  <si>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TIME BASED (c)</t>
  </si>
  <si>
    <t>TOTAL FEES TIME BASED (C)</t>
  </si>
  <si>
    <t>Rate (R)</t>
  </si>
  <si>
    <t>Tariff (R)</t>
  </si>
  <si>
    <t>Approved rate (R)</t>
  </si>
  <si>
    <t>APPORTIONMENT OF THE DESIGN STAGE</t>
  </si>
  <si>
    <t xml:space="preserve">Stage </t>
  </si>
  <si>
    <t>Description</t>
  </si>
  <si>
    <t>Apportionment</t>
  </si>
  <si>
    <t>Progress</t>
  </si>
  <si>
    <t>Factor</t>
  </si>
  <si>
    <t>Stage 1</t>
  </si>
  <si>
    <t>Inception</t>
  </si>
  <si>
    <t>Stage 2</t>
  </si>
  <si>
    <t>Preliminary Design: Concept and Viability</t>
  </si>
  <si>
    <t>Stage 3</t>
  </si>
  <si>
    <t>Contract Administration and Inspection</t>
  </si>
  <si>
    <t>Close-Out</t>
  </si>
  <si>
    <t>PENALTY APPLIED</t>
  </si>
  <si>
    <t>PERCENTAGE OF STAGE COMPLETED</t>
  </si>
  <si>
    <t>LESS PENALTY</t>
  </si>
  <si>
    <t xml:space="preserve">Input the dates in the following format: "ddmmmyy" (13sep11). </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</si>
  <si>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</si>
  <si>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</si>
  <si>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XYZ</t>
  </si>
  <si>
    <t>MULTIDISCIPLINARY PROJECT</t>
  </si>
  <si>
    <t>ELECTRICAL MULTIDISCIPLINARY PROJECT</t>
  </si>
  <si>
    <t>ESTIMATED ENGINEERING FEES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</si>
  <si>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</si>
  <si>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</si>
  <si>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</si>
  <si>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</si>
  <si>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</si>
  <si>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</si>
  <si>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</si>
  <si>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</si>
  <si>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</si>
  <si>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</si>
  <si>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</si>
  <si>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</si>
  <si>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</si>
  <si>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</si>
  <si>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</si>
  <si>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</si>
  <si>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</si>
  <si>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</si>
  <si>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</si>
  <si>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</si>
  <si>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</si>
  <si>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</si>
  <si>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</si>
  <si>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</si>
  <si>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</si>
  <si>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</si>
  <si>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</si>
  <si>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</si>
  <si>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</si>
  <si>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</si>
  <si>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</si>
  <si>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</si>
  <si>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</si>
  <si>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</si>
  <si>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</si>
  <si>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</si>
  <si>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</si>
  <si>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</si>
  <si>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</si>
  <si>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</si>
  <si>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</si>
  <si>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</si>
  <si>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</si>
  <si>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</si>
  <si>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</si>
  <si>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</si>
  <si>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</si>
  <si>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</si>
  <si>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</si>
  <si>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</si>
  <si>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</si>
  <si>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</si>
  <si>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</si>
  <si>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</si>
  <si>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</si>
  <si>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</si>
  <si>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</si>
  <si>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</si>
  <si>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</si>
  <si>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</si>
  <si>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</si>
  <si>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</si>
  <si>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</si>
  <si>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</si>
  <si>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</si>
  <si>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</si>
  <si>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</si>
  <si>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</si>
  <si>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</si>
  <si>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</si>
  <si>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</si>
  <si>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</si>
  <si>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</si>
  <si>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</si>
  <si>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</si>
  <si>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</si>
  <si>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</si>
  <si>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</si>
  <si>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</si>
  <si>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</si>
  <si>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</si>
  <si>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</si>
  <si>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</si>
  <si>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</si>
  <si>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</si>
  <si>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</si>
  <si>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</si>
  <si>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</si>
  <si>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</si>
  <si>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</si>
  <si>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</si>
  <si>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</si>
  <si>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</si>
  <si>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</si>
  <si>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</si>
  <si>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</si>
  <si>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</si>
  <si>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</si>
  <si>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</si>
  <si>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</si>
  <si>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</si>
  <si>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</si>
  <si>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</si>
  <si>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</si>
  <si>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</si>
  <si>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</si>
  <si>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</si>
  <si>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</si>
  <si>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</si>
  <si>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</si>
  <si>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</si>
  <si>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</si>
  <si>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</si>
  <si>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</si>
  <si>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</si>
  <si>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</si>
  <si>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</si>
  <si>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</si>
  <si>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</si>
  <si>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</si>
  <si>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</si>
  <si>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</si>
  <si>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</si>
  <si>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</si>
  <si>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</si>
  <si>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</si>
  <si>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</si>
  <si>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</si>
  <si>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</si>
  <si>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</si>
  <si>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</si>
  <si>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</si>
  <si>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</si>
  <si>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</si>
  <si>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</si>
  <si>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</si>
  <si>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</si>
  <si>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</si>
  <si>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</si>
  <si>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</si>
  <si>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</si>
  <si>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</si>
  <si>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</si>
  <si>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</si>
  <si>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</si>
  <si>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</si>
  <si>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</si>
  <si>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</si>
  <si>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</si>
  <si>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</si>
  <si>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</si>
  <si>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</si>
  <si>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</si>
  <si>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</si>
  <si>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</si>
  <si>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</si>
  <si>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</si>
  <si>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</si>
  <si>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</si>
  <si>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</si>
  <si>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</si>
  <si>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</si>
  <si>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</si>
  <si>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</si>
  <si>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</si>
  <si>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</si>
  <si>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</si>
  <si>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</si>
  <si>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</si>
  <si>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t>THE FEE ACCOUNT</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</si>
  <si>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</si>
  <si>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</si>
  <si>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</si>
  <si>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</si>
  <si>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</si>
  <si>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</si>
  <si>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</si>
  <si>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</si>
  <si>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</si>
  <si>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t>ESTIMATED TOTAL ENGINEERING FEES</t>
  </si>
  <si>
    <t>ENGINEERING PROJECT</t>
  </si>
  <si>
    <t>Claim No</t>
  </si>
  <si>
    <t>Claim No:</t>
  </si>
  <si>
    <t>Previously claimed</t>
  </si>
  <si>
    <t>Cumulative Typing Duplicating &amp; Printing costs Excl VAT</t>
  </si>
  <si>
    <t>SCHEDULE W: SUBSISTENCE &amp; TRAVELLING EXPENSES</t>
  </si>
  <si>
    <t>(Import information from Trip Sheet Form A5)</t>
  </si>
  <si>
    <t>1. Travelling Time</t>
  </si>
  <si>
    <t>A. By private car</t>
  </si>
  <si>
    <t>Trip No</t>
  </si>
  <si>
    <t>Hours claimed*</t>
  </si>
  <si>
    <t>Cumulative Travelling Time claim Excl. VAT</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</si>
  <si>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</si>
  <si>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</si>
  <si>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</si>
  <si>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</si>
  <si>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</si>
  <si>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</si>
  <si>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</si>
  <si>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</si>
  <si>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</si>
  <si>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</si>
  <si>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</si>
  <si>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</si>
  <si>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</si>
  <si>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Cumulative Travelling Time for air travel claim Excl. VAT</t>
  </si>
  <si>
    <t>Cumulative Total Travelling Time Excl. VAT</t>
  </si>
  <si>
    <t>Total Previously claimed</t>
  </si>
  <si>
    <t>Total this claim</t>
  </si>
  <si>
    <t>2. Motor Vehicle Expenses [Up to 3000 cc engine capacity]</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</si>
  <si>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</si>
  <si>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</si>
  <si>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</si>
  <si>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</si>
  <si>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</si>
  <si>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</si>
  <si>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</si>
  <si>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</si>
  <si>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</si>
  <si>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</si>
  <si>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</si>
  <si>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</si>
  <si>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</si>
  <si>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</si>
  <si>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</si>
  <si>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</si>
  <si>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</si>
  <si>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xml:space="preserve"> Cumulative Agent of the client: Time Based fees Excl. VAT</t>
  </si>
  <si>
    <t xml:space="preserve"> Cumulative Report: Time Based fees Excl. VAT</t>
  </si>
  <si>
    <t>Cumulative Construction monitoring: Time Based fees Excl. VAT</t>
  </si>
  <si>
    <t>4. Other</t>
  </si>
  <si>
    <t>Cumulative Other: Time Based fees Excl. VAT</t>
  </si>
  <si>
    <t>Cumulative Report Stage, Construction monitoring &amp; Other TOTAL Excl. VAT</t>
  </si>
  <si>
    <t>Previously claimed (Including for Agent of the Client)</t>
  </si>
  <si>
    <r>
      <t xml:space="preserve">2. Report stage </t>
    </r>
    <r>
      <rPr>
        <b/>
        <sz val="11"/>
        <color rgb="FFFF0000"/>
        <rFont val="Arial"/>
        <family val="2"/>
      </rPr>
      <t>(Only if specifically appointed as such)</t>
    </r>
  </si>
  <si>
    <r>
      <t xml:space="preserve">3. Construction monitoring </t>
    </r>
    <r>
      <rPr>
        <b/>
        <sz val="11"/>
        <color rgb="FFFF0000"/>
        <rFont val="Arial"/>
        <family val="2"/>
      </rPr>
      <t>(only after written approval)</t>
    </r>
  </si>
  <si>
    <t>Approved Hours</t>
  </si>
  <si>
    <t>Cumulative Part Time Supervision Excl VAT</t>
  </si>
  <si>
    <t>Cumulative Full Time Supervision Excl VAT</t>
  </si>
  <si>
    <t>Cumulative Site Staff Charges Excl VAT</t>
  </si>
  <si>
    <t>D: Survey, Soil Tests and Other Charges</t>
  </si>
  <si>
    <t>Cumulative Survey, Soil Tests and Other Charges Excl VAT</t>
  </si>
  <si>
    <t>Cumulative Site Staff, Soil Tests  &amp; Other Charges Excl VAT</t>
  </si>
  <si>
    <t>SITE STAFF CHARGES</t>
  </si>
  <si>
    <t>SURVEY, SOIL TESTS AND OTHER CHARGES</t>
  </si>
  <si>
    <t>WCS No</t>
  </si>
  <si>
    <t>WCS Contract NO</t>
  </si>
  <si>
    <t>CLAIM NO:</t>
  </si>
  <si>
    <t>Cons. Ref No.</t>
  </si>
  <si>
    <t>Penalty Applied</t>
  </si>
  <si>
    <t xml:space="preserve">WCS No: </t>
  </si>
  <si>
    <t>SUBSISTENCE  &amp; TRAVELLING</t>
  </si>
  <si>
    <t>SUBSISTENCE &amp; TRAVELLING CHARGES</t>
  </si>
  <si>
    <t>MULTI-DISCIPLINARY PROJECT</t>
  </si>
  <si>
    <t>Subsistence, Travelling, transport, etc</t>
  </si>
  <si>
    <t>Cumulative ,Construction monitoring &amp; Other TOTAL Excl. VAT</t>
  </si>
  <si>
    <r>
      <rPr>
        <b/>
        <sz val="11"/>
        <rFont val="Arial"/>
        <family val="2"/>
      </rPr>
      <t>1. AGENT OF THE CLIENT FEES CALCULATED ON TIME BASIS:</t>
    </r>
    <r>
      <rPr>
        <b/>
        <sz val="11"/>
        <color indexed="10"/>
        <rFont val="Arial"/>
        <family val="2"/>
      </rPr>
      <t xml:space="preserve"> TO BE CAPPED ON 6% OF BASIC FEES</t>
    </r>
  </si>
  <si>
    <t xml:space="preserve">Cumulative Non Taxable Expenses </t>
  </si>
  <si>
    <t>City/Town/Centre</t>
  </si>
  <si>
    <t>NO</t>
  </si>
  <si>
    <t>Portion claimed %</t>
  </si>
  <si>
    <t>PREVIOUS CLAIMS</t>
  </si>
  <si>
    <t>CLAIM No</t>
  </si>
  <si>
    <t>SCALE_EE</t>
  </si>
  <si>
    <t>SCALE_EB</t>
  </si>
  <si>
    <t xml:space="preserve">Stage 1 - Inception </t>
  </si>
  <si>
    <t>Stage 2 - Preliminary Design - Concept &amp; Viability</t>
  </si>
  <si>
    <t>Stage 3 – Detail Design</t>
  </si>
  <si>
    <t>Stage 4 - Document &amp; Procurement</t>
  </si>
  <si>
    <t>Stage 5 - Contract Administration and Inspection</t>
  </si>
  <si>
    <t>Stage 6 - Close Out</t>
  </si>
  <si>
    <t xml:space="preserve">Detail Design </t>
  </si>
  <si>
    <t>Documentation and Procurement</t>
  </si>
  <si>
    <t>Detail Design</t>
  </si>
  <si>
    <r>
      <t xml:space="preserve">(A) ESTIMATED OR TENDER VALUES </t>
    </r>
    <r>
      <rPr>
        <b/>
        <sz val="11"/>
        <color indexed="10"/>
        <rFont val="Arial"/>
        <family val="2"/>
      </rPr>
      <t>(STAGES 1 - 4)</t>
    </r>
  </si>
  <si>
    <r>
      <t xml:space="preserve">(B) ESTIMATED VALUE FOR DESIGN FEES DURING CONSTRACT ADMINISTRATION  AND INSPECTION </t>
    </r>
    <r>
      <rPr>
        <b/>
        <sz val="11"/>
        <color indexed="10"/>
        <rFont val="Arial"/>
        <family val="2"/>
      </rPr>
      <t>(STAGE 5)</t>
    </r>
  </si>
  <si>
    <r>
      <t xml:space="preserve">(D) FINAL MEASURED VALUES INCL. CPA &amp; P&amp;G </t>
    </r>
    <r>
      <rPr>
        <b/>
        <sz val="11"/>
        <color indexed="10"/>
        <rFont val="Arial"/>
        <family val="2"/>
      </rPr>
      <t>(STAGE 6 ONLY)</t>
    </r>
  </si>
  <si>
    <t>Stage 4</t>
  </si>
  <si>
    <t>FEES (a) INCEPTION, PRELIMINARY DESIGN - CONCEPT &amp; VIABILITY, DETAIL DESIGN &amp;  DOCUMENT &amp; PROCUREMENT STAGES (1-4).</t>
  </si>
  <si>
    <t>FEES (b) CONTRACT ADMINISTRATION, INSPECTION AND CLOSE-OUT STAGES (5 &amp; 6)</t>
  </si>
  <si>
    <t>N/A for INCEPTION, CONTRACT ADMINISTRATION &amp; INSPECTION &amp; CLOSE-OUT STAGE</t>
  </si>
  <si>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</si>
  <si>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</si>
  <si>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(C) VALUE OF COMPLETED WORK </t>
    </r>
    <r>
      <rPr>
        <b/>
        <sz val="11"/>
        <color indexed="10"/>
        <rFont val="Arial"/>
        <family val="2"/>
      </rPr>
      <t>(STAGE 5 &amp; 6)</t>
    </r>
  </si>
  <si>
    <r>
      <t>Only in case of engineering projects an amount of 7% of the basic fee is allowed for the execution of</t>
    </r>
    <r>
      <rPr>
        <b/>
        <sz val="10"/>
        <rFont val="Arial"/>
        <family val="2"/>
      </rPr>
      <t xml:space="preserve"> targeted procurement.</t>
    </r>
  </si>
  <si>
    <r>
      <t xml:space="preserve">Only in case of engineering projects an amount not exceeding 6% of the basic fee and calculated on a time basis is allowed for the responsibilities of the </t>
    </r>
    <r>
      <rPr>
        <b/>
        <sz val="10"/>
        <rFont val="Arial"/>
        <family val="2"/>
      </rPr>
      <t>"agent of the client"</t>
    </r>
    <r>
      <rPr>
        <sz val="10"/>
        <rFont val="Arial"/>
        <family val="2"/>
      </rPr>
      <t xml:space="preserve"> in accordance with the OHSA. Only if the motivation of the consulting engineer for a larger fee is approved, may he be paid more.</t>
    </r>
  </si>
  <si>
    <t>Stage 5</t>
  </si>
  <si>
    <t>Stage 6</t>
  </si>
  <si>
    <t>FEES (b) CONSTRACT ADMINISTRATION, INSPECTION AND CLOSE-OUT STAGES (5 &amp; 6)</t>
  </si>
  <si>
    <t>CONTRACT ADMINISTRATION &amp; INSPECTION</t>
  </si>
  <si>
    <t>Provides for 15% VAT</t>
  </si>
  <si>
    <t>ALL FIGURES EXCLUDING VAT</t>
  </si>
  <si>
    <r>
      <t xml:space="preserve">CONTRACT ADMINISTRATION AND INSPECTION &amp; CLOSE-OUT. </t>
    </r>
    <r>
      <rPr>
        <b/>
        <i/>
        <sz val="12"/>
        <color indexed="10"/>
        <rFont val="Arial"/>
        <family val="2"/>
      </rPr>
      <t>ALL VALUES MUST INCLUDE RELEVANT PROPORTION OF P&amp;G AND CPA AND EXCLUDING VAT</t>
    </r>
  </si>
  <si>
    <t>FEES (c )TIME BASED FEES  (ALL EXCLUDING VAT)</t>
  </si>
  <si>
    <t>FEES (d) EXPENSES AND COSTS (DISBURSEMENTS) (ALL EXCLUDING VAT)</t>
  </si>
  <si>
    <t xml:space="preserve">FEES (c )TIME BASED FEES (ALL EXCLUDING VAT) </t>
  </si>
  <si>
    <t>This claim</t>
  </si>
  <si>
    <t>VAT =</t>
  </si>
  <si>
    <t>VAT FACTOR</t>
  </si>
  <si>
    <t>Cumulative Typing Total Excl. VAT</t>
  </si>
  <si>
    <t>Cumulative Duplicating Total Excl. VAT</t>
  </si>
  <si>
    <t>Cumulative Covers &amp; Binders Total Excl. VAT</t>
  </si>
  <si>
    <t>Cumulative Printing Total Excl. VAT</t>
  </si>
  <si>
    <t xml:space="preserve">Cumulative Travelling Expenses Excl. VAT </t>
  </si>
  <si>
    <t>5 (b)`</t>
  </si>
  <si>
    <t>Only actual costs are payable in respect of absence from office of less than 24 hours. (Attach invoices)`</t>
  </si>
  <si>
    <t>For any information, clarification or assistance please contact us at the following e-mail addresses: Phafane.Thobejane@dpw.gov.za &amp; Trevor.Mathabatha@dpw.gov.za</t>
  </si>
  <si>
    <t>TENDER VALUES</t>
  </si>
  <si>
    <t>2023 FEE SCALES</t>
  </si>
  <si>
    <t>Fee in accordance with the National Department of Public Works Scope of Engineering Services and Tariff of Fees for Persons Registered in terms of the Engineering Profession Act, 2000 (Act No. 46 of 2000) dated 1 April 2024</t>
  </si>
  <si>
    <t>Version: 1.0  2024-07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</si>
</sst>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64" formatCode="&quot;R&quot;\ #,##0.00;&quot;R&quot;\ \-#,##0.00"/>
    <numFmt numFmtId="165" formatCode="_ &quot;R&quot;\ * #,##0.00_ ;_ &quot;R&quot;\ * \-#,##0.00_ ;_ &quot;R&quot;\ * &quot;-&quot;??_ ;_ @_ "/>
    <numFmt numFmtId="166" formatCode="_ * #,##0.00_ ;_ * \-#,##0.00_ ;_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 yyyy"/>
    <numFmt numFmtId="179" formatCode="dd\ mmmm\ yyyy"/>
    <numFmt numFmtId="180" formatCode="000000"/>
    <numFmt numFmtId="181" formatCode="#\ ###\ ##0.00;\(#\ ###\ ##0.00\);\ \ \-\ \ "/>
    <numFmt numFmtId="182" formatCode="0000"/>
    <numFmt numFmtId="183" formatCode="dd\-mmm\-yyyy"/>
    <numFmt numFmtId="184" formatCode="dd\-mmm\-yyyy_)"/>
    <numFmt numFmtId="185" formatCode="00"/>
    <numFmt numFmtId="186" formatCode="000"/>
    <numFmt numFmtId="187" formatCode="0.0"/>
    <numFmt numFmtId="188" formatCode="0.000"/>
    <numFmt numFmtId="189" formatCode="dd\-mmm\-yy\ hh:mm"/>
    <numFmt numFmtId="190" formatCode="dd\-mmm\-yy_)"/>
    <numFmt numFmtId="191" formatCode="[$R-1C09]\ #,##0"/>
    <numFmt numFmtId="192" formatCode="&quot;R&quot;#,##0"/>
  </numFmts>
  <fonts count="132"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u/>
      <sz val="9"/>
      <color indexed="12"/>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sz val="10"/>
      <color indexed="81"/>
      <name val="Tahoma"/>
      <family val="2"/>
    </font>
    <font>
      <b/>
      <u/>
      <sz val="8"/>
      <name val="Arial"/>
      <family val="2"/>
    </font>
    <font>
      <sz val="10"/>
      <color indexed="12"/>
      <name val="Arial"/>
      <family val="2"/>
    </font>
    <font>
      <b/>
      <sz val="10"/>
      <color indexed="81"/>
      <name val="Tahoma"/>
      <family val="2"/>
    </font>
    <font>
      <sz val="11"/>
      <color indexed="12"/>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sz val="11"/>
      <color indexed="8"/>
      <name val="Arial"/>
      <family val="2"/>
    </font>
    <font>
      <b/>
      <sz val="16"/>
      <color indexed="17"/>
      <name val="Arial"/>
      <family val="2"/>
    </font>
    <font>
      <i/>
      <sz val="11"/>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11"/>
      <color indexed="12"/>
      <name val="Arial"/>
      <family val="2"/>
    </font>
    <font>
      <b/>
      <sz val="11"/>
      <color indexed="17"/>
      <name val="Arial"/>
      <family val="2"/>
    </font>
    <font>
      <b/>
      <u/>
      <sz val="11"/>
      <name val="Arial"/>
      <family val="2"/>
    </font>
    <font>
      <i/>
      <sz val="12"/>
      <name val="Arial"/>
      <family val="2"/>
    </font>
    <font>
      <b/>
      <sz val="11"/>
      <color indexed="15"/>
      <name val="Arial"/>
      <family val="2"/>
    </font>
    <font>
      <i/>
      <sz val="11"/>
      <color indexed="8"/>
      <name val="Arial"/>
      <family val="2"/>
    </font>
    <font>
      <b/>
      <sz val="12"/>
      <color indexed="17"/>
      <name val="Arial"/>
      <family val="2"/>
    </font>
    <font>
      <b/>
      <sz val="18"/>
      <color indexed="10"/>
      <name val="Arial"/>
      <family val="2"/>
    </font>
    <font>
      <b/>
      <i/>
      <sz val="11"/>
      <name val="Arial"/>
      <family val="2"/>
    </font>
    <font>
      <sz val="9"/>
      <color indexed="81"/>
      <name val="Tahoma"/>
      <family val="2"/>
    </font>
    <font>
      <sz val="18"/>
      <name val="Arial"/>
      <family val="2"/>
    </font>
    <font>
      <b/>
      <i/>
      <sz val="10"/>
      <color indexed="12"/>
      <name val="Arial"/>
      <family val="2"/>
    </font>
    <font>
      <b/>
      <u/>
      <sz val="12"/>
      <name val="Arial"/>
      <family val="2"/>
    </font>
    <font>
      <sz val="10"/>
      <color indexed="10"/>
      <name val="Arial"/>
      <family val="2"/>
    </font>
    <font>
      <b/>
      <sz val="12"/>
      <color indexed="12"/>
      <name val="Arial"/>
      <family val="2"/>
    </font>
    <font>
      <sz val="8"/>
      <name val="Courier"/>
      <family val="3"/>
    </font>
    <font>
      <sz val="16"/>
      <name val="Arial"/>
      <family val="2"/>
    </font>
    <font>
      <u/>
      <sz val="16"/>
      <name val="Arial"/>
      <family val="2"/>
    </font>
    <font>
      <b/>
      <i/>
      <sz val="11"/>
      <color indexed="12"/>
      <name val="Arial"/>
      <family val="2"/>
    </font>
    <font>
      <b/>
      <sz val="20"/>
      <color indexed="12"/>
      <name val="Arial"/>
      <family val="2"/>
    </font>
    <font>
      <sz val="12"/>
      <color indexed="22"/>
      <name val="Courier"/>
      <family val="3"/>
    </font>
    <font>
      <b/>
      <sz val="22"/>
      <color indexed="10"/>
      <name val="Arial"/>
      <family val="2"/>
    </font>
    <font>
      <sz val="22"/>
      <name val="Arial"/>
      <family val="2"/>
    </font>
    <font>
      <b/>
      <i/>
      <sz val="12"/>
      <color indexed="12"/>
      <name val="Arial"/>
      <family val="2"/>
    </font>
    <font>
      <b/>
      <sz val="22"/>
      <color indexed="17"/>
      <name val="Arial"/>
      <family val="2"/>
    </font>
    <font>
      <sz val="16"/>
      <color indexed="10"/>
      <name val="Arial"/>
      <family val="2"/>
    </font>
    <font>
      <sz val="9"/>
      <name val="Arial"/>
      <family val="2"/>
    </font>
    <font>
      <b/>
      <sz val="14"/>
      <color indexed="10"/>
      <name val="Arial"/>
      <family val="2"/>
    </font>
    <font>
      <b/>
      <u/>
      <sz val="14"/>
      <color indexed="12"/>
      <name val="Arial"/>
      <family val="2"/>
    </font>
    <font>
      <sz val="12"/>
      <color indexed="8"/>
      <name val="Arial"/>
      <family val="2"/>
    </font>
    <font>
      <sz val="9"/>
      <color indexed="8"/>
      <name val="Arial"/>
      <family val="2"/>
    </font>
    <font>
      <b/>
      <i/>
      <sz val="10"/>
      <color indexed="8"/>
      <name val="Arial"/>
      <family val="2"/>
    </font>
    <font>
      <i/>
      <sz val="10"/>
      <color indexed="8"/>
      <name val="Arial"/>
      <family val="2"/>
    </font>
    <font>
      <b/>
      <u/>
      <sz val="12"/>
      <color indexed="10"/>
      <name val="Arial"/>
      <family val="2"/>
    </font>
    <font>
      <b/>
      <u/>
      <sz val="16"/>
      <name val="Arial"/>
      <family val="2"/>
    </font>
    <font>
      <b/>
      <sz val="14"/>
      <color indexed="8"/>
      <name val="Arial"/>
      <family val="2"/>
    </font>
    <font>
      <b/>
      <u/>
      <sz val="14"/>
      <name val="Arial"/>
      <family val="2"/>
    </font>
    <font>
      <sz val="20"/>
      <name val="Arial"/>
      <family val="2"/>
    </font>
    <font>
      <sz val="14"/>
      <color indexed="12"/>
      <name val="Arial"/>
      <family val="2"/>
    </font>
    <font>
      <sz val="16"/>
      <color indexed="12"/>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sz val="11"/>
      <color indexed="41"/>
      <name val="Arial"/>
      <family val="2"/>
    </font>
    <font>
      <b/>
      <sz val="12"/>
      <color indexed="41"/>
      <name val="Arial"/>
      <family val="2"/>
    </font>
    <font>
      <sz val="12"/>
      <color indexed="10"/>
      <name val="Tahoma"/>
      <family val="2"/>
    </font>
    <font>
      <sz val="11"/>
      <color indexed="58"/>
      <name val="Arial"/>
      <family val="2"/>
    </font>
    <font>
      <b/>
      <sz val="11"/>
      <color indexed="58"/>
      <name val="Arial"/>
      <family val="2"/>
    </font>
    <font>
      <b/>
      <sz val="14"/>
      <color indexed="58"/>
      <name val="Arial"/>
      <family val="2"/>
    </font>
    <font>
      <sz val="8"/>
      <color indexed="10"/>
      <name val="Tahoma"/>
      <family val="2"/>
    </font>
    <font>
      <sz val="12"/>
      <color indexed="10"/>
      <name val="Courier"/>
      <family val="3"/>
    </font>
    <font>
      <b/>
      <sz val="12"/>
      <name val="Courier"/>
      <family val="3"/>
    </font>
    <font>
      <b/>
      <sz val="10"/>
      <color indexed="10"/>
      <name val="Tahoma"/>
      <family val="2"/>
    </font>
    <font>
      <b/>
      <sz val="12"/>
      <color indexed="10"/>
      <name val="Tahoma"/>
      <family val="2"/>
    </font>
    <font>
      <b/>
      <sz val="11"/>
      <color indexed="10"/>
      <name val="Arial Narrow"/>
      <family val="2"/>
    </font>
    <font>
      <b/>
      <sz val="10"/>
      <color indexed="10"/>
      <name val="Arial Narrow"/>
      <family val="2"/>
    </font>
    <font>
      <b/>
      <sz val="14"/>
      <name val="Arial"/>
      <family val="2"/>
    </font>
    <font>
      <sz val="10"/>
      <name val="Courier"/>
      <family val="3"/>
    </font>
    <font>
      <sz val="12"/>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
      <u/>
      <sz val="12"/>
      <name val="Arial"/>
      <family val="2"/>
    </font>
    <font>
      <b/>
      <u/>
      <sz val="14"/>
      <color indexed="10"/>
      <name val="Arial"/>
      <family val="2"/>
    </font>
    <font>
      <b/>
      <sz val="12"/>
      <color rgb="FFFF0000"/>
      <name val="Arial"/>
      <family val="2"/>
    </font>
    <font>
      <sz val="12"/>
      <color rgb="FFFF0000"/>
      <name val="Arial"/>
      <family val="2"/>
    </font>
    <font>
      <b/>
      <sz val="10"/>
      <color rgb="FF000000"/>
      <name val="Arial"/>
      <family val="2"/>
    </font>
    <font>
      <sz val="10"/>
      <color rgb="FF0000FF"/>
      <name val="Arial"/>
      <family val="2"/>
    </font>
    <font>
      <b/>
      <sz val="10"/>
      <color rgb="FFFF0000"/>
      <name val="Arial"/>
      <family val="2"/>
    </font>
    <font>
      <b/>
      <sz val="11"/>
      <color rgb="FFFF0000"/>
      <name val="Arial"/>
      <family val="2"/>
    </font>
    <font>
      <i/>
      <sz val="10"/>
      <name val="Arial"/>
      <family val="2"/>
    </font>
    <font>
      <b/>
      <sz val="10"/>
      <color rgb="FFC00000"/>
      <name val="Arial"/>
      <family val="2"/>
    </font>
    <font>
      <u/>
      <sz val="12"/>
      <color indexed="12"/>
      <name val="Arial"/>
      <family val="2"/>
    </font>
    <font>
      <i/>
      <sz val="12"/>
      <name val="Courier"/>
      <family val="3"/>
    </font>
    <font>
      <b/>
      <sz val="14"/>
      <color indexed="17"/>
      <name val="Arial"/>
      <family val="2"/>
    </font>
    <font>
      <sz val="12"/>
      <color theme="0"/>
      <name val="Courier"/>
      <family val="3"/>
    </font>
    <font>
      <sz val="11"/>
      <color theme="0"/>
      <name val="Calibri"/>
      <family val="2"/>
    </font>
    <font>
      <sz val="10"/>
      <color theme="0"/>
      <name val="Times New Roman"/>
      <family val="1"/>
    </font>
    <font>
      <b/>
      <sz val="11"/>
      <color theme="0"/>
      <name val="Calibri"/>
      <family val="2"/>
    </font>
    <font>
      <sz val="10"/>
      <color theme="1"/>
      <name val="Courier"/>
      <family val="3"/>
    </font>
    <font>
      <sz val="10"/>
      <color theme="1"/>
      <name val="Arial"/>
      <family val="2"/>
    </font>
    <font>
      <sz val="9"/>
      <color indexed="10"/>
      <name val="Arial"/>
      <family val="2"/>
    </font>
    <font>
      <sz val="9"/>
      <color theme="1"/>
      <name val="Courier"/>
      <family val="3"/>
    </font>
    <font>
      <sz val="14"/>
      <name val="Arial"/>
      <family val="2"/>
    </font>
    <font>
      <sz val="14"/>
      <name val="Courier"/>
      <family val="3"/>
    </font>
    <font>
      <b/>
      <sz val="12"/>
      <color rgb="FF0070C0"/>
      <name val="Arial"/>
      <family val="2"/>
    </font>
    <font>
      <b/>
      <sz val="16"/>
      <color rgb="FFFF0000"/>
      <name val="Arial"/>
      <family val="2"/>
    </font>
  </fonts>
  <fills count="1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lightTrellis"/>
    </fill>
    <fill>
      <patternFill patternType="lightHorizontal">
        <fgColor indexed="9"/>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9"/>
      </patternFill>
    </fill>
    <fill>
      <patternFill patternType="solid">
        <fgColor indexed="47"/>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lightTrellis">
        <bgColor theme="0" tint="-0.14999847407452621"/>
      </patternFill>
    </fill>
    <fill>
      <patternFill patternType="solid">
        <fgColor theme="0"/>
        <bgColor indexed="64"/>
      </patternFill>
    </fill>
    <fill>
      <patternFill patternType="solid">
        <fgColor rgb="FFCCFFCC"/>
        <bgColor indexed="64"/>
      </patternFill>
    </fill>
    <fill>
      <patternFill patternType="lightHorizontal">
        <fgColor indexed="9"/>
        <bgColor theme="0"/>
      </patternFill>
    </fill>
    <fill>
      <patternFill patternType="solid">
        <fgColor rgb="FFFFC000"/>
        <bgColor indexed="64"/>
      </patternFill>
    </fill>
  </fills>
  <borders count="233">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medium">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double">
        <color indexed="64"/>
      </bottom>
      <diagonal/>
    </border>
    <border>
      <left/>
      <right/>
      <top style="hair">
        <color indexed="64"/>
      </top>
      <bottom/>
      <diagonal/>
    </border>
    <border>
      <left style="thin">
        <color indexed="64"/>
      </left>
      <right style="double">
        <color indexed="64"/>
      </right>
      <top style="double">
        <color indexed="64"/>
      </top>
      <bottom style="thin">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top/>
      <bottom style="dashed">
        <color indexed="64"/>
      </bottom>
      <diagonal/>
    </border>
    <border>
      <left/>
      <right style="thin">
        <color indexed="64"/>
      </right>
      <top style="thin">
        <color indexed="64"/>
      </top>
      <bottom style="dashed">
        <color indexed="64"/>
      </bottom>
      <diagonal/>
    </border>
    <border>
      <left style="double">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9">
    <xf numFmtId="0" fontId="0" fillId="0" borderId="0"/>
    <xf numFmtId="165"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10" fillId="0" borderId="0" applyNumberFormat="0" applyFill="0" applyBorder="0" applyAlignment="0" applyProtection="0">
      <alignment vertical="top"/>
      <protection locked="0"/>
    </xf>
    <xf numFmtId="0" fontId="28" fillId="0" borderId="0"/>
    <xf numFmtId="0" fontId="13" fillId="0" borderId="0"/>
    <xf numFmtId="9" fontId="1" fillId="0" borderId="0" applyFont="0" applyFill="0" applyBorder="0" applyAlignment="0" applyProtection="0"/>
    <xf numFmtId="168" fontId="2" fillId="0" borderId="1">
      <protection locked="0"/>
    </xf>
    <xf numFmtId="0" fontId="98" fillId="0" borderId="0" applyFont="0"/>
  </cellStyleXfs>
  <cellXfs count="2051">
    <xf numFmtId="0" fontId="0" fillId="0" borderId="0" xfId="0"/>
    <xf numFmtId="0" fontId="5" fillId="0" borderId="0" xfId="0" applyFont="1" applyFill="1" applyBorder="1" applyProtection="1"/>
    <xf numFmtId="0" fontId="16" fillId="0" borderId="0" xfId="0" applyFont="1" applyFill="1" applyBorder="1" applyProtection="1"/>
    <xf numFmtId="0" fontId="16" fillId="0" borderId="0" xfId="0" applyFont="1" applyBorder="1"/>
    <xf numFmtId="0" fontId="16" fillId="0" borderId="0" xfId="0" applyFont="1"/>
    <xf numFmtId="3" fontId="30" fillId="0" borderId="0" xfId="15" applyNumberFormat="1" applyFont="1" applyBorder="1" applyProtection="1">
      <protection locked="0"/>
    </xf>
    <xf numFmtId="3" fontId="31" fillId="0" borderId="0" xfId="15" applyNumberFormat="1" applyFont="1" applyBorder="1" applyProtection="1"/>
    <xf numFmtId="173" fontId="0" fillId="0" borderId="0" xfId="0" applyNumberFormat="1"/>
    <xf numFmtId="0" fontId="16" fillId="0" borderId="2"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176" fontId="38" fillId="0" borderId="3" xfId="0" applyNumberFormat="1" applyFont="1" applyFill="1" applyBorder="1" applyAlignment="1" applyProtection="1">
      <alignment horizontal="center"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7"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15" fillId="0" borderId="0" xfId="0" applyFont="1" applyAlignment="1">
      <alignment vertical="center" wrapText="1"/>
    </xf>
    <xf numFmtId="0" fontId="17" fillId="0" borderId="0" xfId="0" applyFont="1" applyAlignment="1">
      <alignment vertical="center" wrapText="1"/>
    </xf>
    <xf numFmtId="0" fontId="41" fillId="0" borderId="0" xfId="0" applyFont="1" applyAlignment="1">
      <alignment vertical="center" wrapText="1"/>
    </xf>
    <xf numFmtId="0" fontId="31" fillId="0" borderId="0"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5" xfId="0" applyFont="1" applyBorder="1" applyAlignment="1" applyProtection="1">
      <alignment vertical="center"/>
    </xf>
    <xf numFmtId="0" fontId="14" fillId="0" borderId="5" xfId="0" applyFont="1" applyBorder="1" applyAlignment="1">
      <alignment vertical="center"/>
    </xf>
    <xf numFmtId="0" fontId="17" fillId="0" borderId="4" xfId="0" applyFont="1" applyBorder="1" applyAlignment="1" applyProtection="1">
      <alignment vertical="center"/>
    </xf>
    <xf numFmtId="0" fontId="25" fillId="0" borderId="6" xfId="0" applyFont="1" applyFill="1" applyBorder="1" applyAlignment="1" applyProtection="1">
      <alignment vertical="center"/>
    </xf>
    <xf numFmtId="0" fontId="4" fillId="0" borderId="7" xfId="0" applyFont="1" applyFill="1" applyBorder="1" applyAlignment="1" applyProtection="1">
      <alignment horizontal="left" vertical="center"/>
    </xf>
    <xf numFmtId="0" fontId="16" fillId="0" borderId="7" xfId="0" applyFont="1" applyFill="1" applyBorder="1" applyAlignment="1" applyProtection="1">
      <alignment vertical="center"/>
    </xf>
    <xf numFmtId="0" fontId="4" fillId="0" borderId="0" xfId="0" applyFont="1" applyAlignment="1">
      <alignment wrapText="1"/>
    </xf>
    <xf numFmtId="0" fontId="4"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6"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3" fontId="32" fillId="0" borderId="4" xfId="0" applyNumberFormat="1" applyFont="1" applyFill="1" applyBorder="1" applyAlignment="1" applyProtection="1">
      <alignment horizontal="left" vertical="center"/>
    </xf>
    <xf numFmtId="173" fontId="32" fillId="0" borderId="4"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6"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9" fontId="4" fillId="0" borderId="10" xfId="16" applyFont="1" applyBorder="1" applyAlignment="1" applyProtection="1">
      <alignment vertical="center"/>
    </xf>
    <xf numFmtId="9" fontId="4" fillId="0" borderId="0" xfId="16" applyFont="1" applyBorder="1" applyAlignment="1" applyProtection="1">
      <alignment vertical="center"/>
    </xf>
    <xf numFmtId="0" fontId="6" fillId="0" borderId="11" xfId="0"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11" xfId="0" applyFont="1" applyFill="1" applyBorder="1" applyAlignment="1" applyProtection="1">
      <alignment vertical="center"/>
    </xf>
    <xf numFmtId="0" fontId="29" fillId="2" borderId="12" xfId="0" applyFont="1" applyFill="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7"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6"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5" xfId="0" applyFont="1" applyFill="1" applyBorder="1" applyAlignment="1" applyProtection="1">
      <alignment vertical="center"/>
    </xf>
    <xf numFmtId="173" fontId="4" fillId="0" borderId="1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173"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14" xfId="16" applyNumberFormat="1" applyFont="1" applyFill="1" applyBorder="1" applyAlignment="1" applyProtection="1">
      <alignment vertical="center"/>
    </xf>
    <xf numFmtId="173" fontId="4" fillId="0" borderId="10" xfId="0" applyNumberFormat="1" applyFont="1" applyBorder="1" applyAlignment="1" applyProtection="1">
      <alignment vertical="center"/>
    </xf>
    <xf numFmtId="173" fontId="4" fillId="0" borderId="10" xfId="0" applyNumberFormat="1" applyFont="1" applyBorder="1" applyAlignment="1" applyProtection="1">
      <alignment horizontal="center"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4" fillId="0" borderId="14" xfId="0" applyFont="1" applyFill="1" applyBorder="1" applyAlignment="1" applyProtection="1">
      <alignment horizontal="left" vertical="center"/>
    </xf>
    <xf numFmtId="9" fontId="4" fillId="0" borderId="14" xfId="0" applyNumberFormat="1" applyFont="1" applyFill="1" applyBorder="1" applyAlignment="1" applyProtection="1">
      <alignment vertical="center"/>
    </xf>
    <xf numFmtId="0" fontId="5"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vertical="center"/>
    </xf>
    <xf numFmtId="173" fontId="23" fillId="0" borderId="14"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vertical="center"/>
    </xf>
    <xf numFmtId="170"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vertical="center"/>
    </xf>
    <xf numFmtId="0" fontId="5" fillId="0" borderId="14" xfId="0" applyFont="1" applyFill="1" applyBorder="1" applyAlignment="1" applyProtection="1">
      <alignment horizontal="right"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4"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170" fontId="5" fillId="0" borderId="13"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0" fontId="5" fillId="0" borderId="10" xfId="0" applyNumberFormat="1" applyFont="1" applyFill="1" applyBorder="1" applyAlignment="1" applyProtection="1">
      <alignment vertical="center"/>
    </xf>
    <xf numFmtId="0" fontId="17" fillId="0" borderId="0" xfId="0" applyFont="1" applyBorder="1" applyAlignment="1" applyProtection="1">
      <alignment horizontal="right" vertical="center"/>
    </xf>
    <xf numFmtId="173" fontId="6" fillId="0" borderId="0" xfId="0" applyNumberFormat="1" applyFont="1" applyFill="1" applyBorder="1" applyAlignment="1" applyProtection="1">
      <alignment vertical="center"/>
    </xf>
    <xf numFmtId="0" fontId="33" fillId="0" borderId="0" xfId="0" applyFont="1" applyBorder="1" applyAlignment="1" applyProtection="1">
      <alignment horizontal="center" vertical="center"/>
    </xf>
    <xf numFmtId="170" fontId="6" fillId="0" borderId="0" xfId="0" applyNumberFormat="1" applyFont="1" applyFill="1" applyBorder="1" applyAlignment="1" applyProtection="1">
      <alignment vertical="center"/>
    </xf>
    <xf numFmtId="0" fontId="5" fillId="0" borderId="19" xfId="0" applyFont="1" applyFill="1" applyBorder="1" applyAlignment="1" applyProtection="1">
      <alignment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47" fillId="0" borderId="12" xfId="0" applyNumberFormat="1" applyFont="1" applyFill="1" applyBorder="1" applyAlignment="1" applyProtection="1">
      <alignment horizontal="center" vertical="center"/>
    </xf>
    <xf numFmtId="0" fontId="14" fillId="0" borderId="0" xfId="0" applyFont="1" applyBorder="1" applyAlignment="1">
      <alignment horizontal="center" vertical="center"/>
    </xf>
    <xf numFmtId="0" fontId="14" fillId="0" borderId="13" xfId="0" applyFont="1" applyBorder="1" applyAlignment="1">
      <alignment vertical="center"/>
    </xf>
    <xf numFmtId="0" fontId="14" fillId="0" borderId="20" xfId="0" applyFont="1" applyBorder="1" applyAlignment="1">
      <alignment vertical="center"/>
    </xf>
    <xf numFmtId="0" fontId="14" fillId="0" borderId="4" xfId="0" applyFont="1" applyBorder="1" applyAlignment="1">
      <alignment vertical="center"/>
    </xf>
    <xf numFmtId="0" fontId="17" fillId="0" borderId="21" xfId="0" applyFont="1" applyBorder="1" applyAlignment="1">
      <alignment horizontal="left" vertical="center"/>
    </xf>
    <xf numFmtId="1" fontId="14" fillId="0" borderId="4" xfId="0" applyNumberFormat="1" applyFont="1" applyBorder="1" applyAlignment="1">
      <alignment horizontal="left" vertical="center"/>
    </xf>
    <xf numFmtId="0" fontId="14" fillId="0" borderId="22" xfId="0"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7" fillId="0" borderId="23" xfId="0" applyFont="1" applyBorder="1" applyAlignment="1">
      <alignment horizontal="left" vertical="center"/>
    </xf>
    <xf numFmtId="0" fontId="14" fillId="0" borderId="16" xfId="0" applyFont="1" applyBorder="1" applyAlignment="1">
      <alignment vertical="center"/>
    </xf>
    <xf numFmtId="0" fontId="14" fillId="0" borderId="24" xfId="0" applyFont="1" applyBorder="1" applyAlignment="1">
      <alignment vertical="center"/>
    </xf>
    <xf numFmtId="0" fontId="14" fillId="0" borderId="12" xfId="0" applyFont="1" applyBorder="1" applyAlignment="1">
      <alignment vertical="center" wrapText="1"/>
    </xf>
    <xf numFmtId="0" fontId="14" fillId="0" borderId="26" xfId="0" applyFont="1" applyBorder="1" applyAlignment="1">
      <alignment vertical="center" wrapText="1"/>
    </xf>
    <xf numFmtId="14" fontId="20" fillId="2" borderId="27" xfId="0" applyNumberFormat="1" applyFont="1" applyFill="1" applyBorder="1" applyAlignment="1" applyProtection="1">
      <alignment vertical="center"/>
      <protection locked="0"/>
    </xf>
    <xf numFmtId="0" fontId="20" fillId="2" borderId="28" xfId="0" applyFont="1" applyFill="1" applyBorder="1" applyAlignment="1" applyProtection="1">
      <alignment vertical="center"/>
      <protection locked="0"/>
    </xf>
    <xf numFmtId="0" fontId="20" fillId="2" borderId="17" xfId="0" applyFont="1" applyFill="1" applyBorder="1" applyAlignment="1" applyProtection="1">
      <alignment vertical="center"/>
      <protection locked="0"/>
    </xf>
    <xf numFmtId="0" fontId="20" fillId="2" borderId="29" xfId="0" applyFont="1" applyFill="1" applyBorder="1" applyAlignment="1" applyProtection="1">
      <alignment vertical="center"/>
      <protection locked="0"/>
    </xf>
    <xf numFmtId="0" fontId="20" fillId="2" borderId="30" xfId="0" applyFont="1" applyFill="1" applyBorder="1" applyAlignment="1" applyProtection="1">
      <alignment vertical="center"/>
      <protection locked="0"/>
    </xf>
    <xf numFmtId="0" fontId="20" fillId="2" borderId="31"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34"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36" xfId="0" applyFont="1" applyFill="1" applyBorder="1" applyAlignment="1" applyProtection="1">
      <alignment vertical="center"/>
      <protection locked="0"/>
    </xf>
    <xf numFmtId="0" fontId="7" fillId="0" borderId="38" xfId="0" applyFont="1" applyBorder="1" applyAlignment="1">
      <alignment horizontal="right" vertical="center"/>
    </xf>
    <xf numFmtId="0" fontId="14" fillId="0" borderId="2" xfId="0" applyFont="1" applyBorder="1" applyAlignment="1">
      <alignment vertical="center"/>
    </xf>
    <xf numFmtId="0" fontId="14" fillId="0" borderId="37" xfId="0" applyFont="1" applyBorder="1" applyAlignment="1">
      <alignment vertical="center"/>
    </xf>
    <xf numFmtId="0" fontId="14" fillId="0" borderId="39" xfId="0" applyFont="1" applyBorder="1" applyAlignment="1">
      <alignment vertical="center"/>
    </xf>
    <xf numFmtId="0" fontId="20" fillId="2" borderId="16" xfId="0" applyFont="1" applyFill="1" applyBorder="1" applyAlignment="1" applyProtection="1">
      <alignment vertical="center"/>
      <protection locked="0"/>
    </xf>
    <xf numFmtId="0" fontId="20" fillId="2" borderId="40" xfId="0" applyFont="1" applyFill="1" applyBorder="1" applyAlignment="1" applyProtection="1">
      <alignment vertical="center"/>
      <protection locked="0"/>
    </xf>
    <xf numFmtId="0" fontId="20" fillId="2" borderId="10"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20" fillId="2" borderId="42" xfId="0" applyFont="1" applyFill="1" applyBorder="1" applyAlignment="1" applyProtection="1">
      <alignment vertical="center"/>
      <protection locked="0"/>
    </xf>
    <xf numFmtId="0" fontId="20" fillId="2" borderId="43" xfId="0" applyFont="1" applyFill="1" applyBorder="1" applyAlignment="1" applyProtection="1">
      <alignment vertical="center"/>
      <protection locked="0"/>
    </xf>
    <xf numFmtId="0" fontId="20" fillId="2" borderId="44" xfId="0" applyFont="1" applyFill="1" applyBorder="1" applyAlignment="1" applyProtection="1">
      <alignment vertical="center"/>
      <protection locked="0"/>
    </xf>
    <xf numFmtId="0" fontId="5" fillId="2" borderId="29" xfId="0" applyFont="1" applyFill="1" applyBorder="1" applyAlignment="1" applyProtection="1">
      <alignment vertical="center"/>
    </xf>
    <xf numFmtId="0" fontId="5" fillId="2" borderId="33" xfId="0" applyFont="1" applyFill="1" applyBorder="1" applyAlignment="1" applyProtection="1">
      <alignment vertical="center"/>
    </xf>
    <xf numFmtId="0" fontId="20" fillId="0" borderId="0" xfId="0" applyFont="1" applyBorder="1" applyAlignment="1" applyProtection="1">
      <alignment vertical="center"/>
      <protection locked="0"/>
    </xf>
    <xf numFmtId="0" fontId="7" fillId="0" borderId="4"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15" fillId="0" borderId="0" xfId="0" applyFont="1" applyBorder="1" applyAlignment="1">
      <alignment vertical="center"/>
    </xf>
    <xf numFmtId="0" fontId="14" fillId="0" borderId="8" xfId="0" applyFont="1" applyBorder="1" applyAlignment="1">
      <alignment vertical="center"/>
    </xf>
    <xf numFmtId="0" fontId="17" fillId="0" borderId="11" xfId="0" applyFont="1" applyBorder="1" applyAlignment="1">
      <alignment vertical="center"/>
    </xf>
    <xf numFmtId="14" fontId="20" fillId="2" borderId="45" xfId="0" applyNumberFormat="1" applyFont="1" applyFill="1" applyBorder="1" applyAlignment="1" applyProtection="1">
      <alignment vertical="center"/>
      <protection locked="0"/>
    </xf>
    <xf numFmtId="0" fontId="20" fillId="2" borderId="46" xfId="0" applyFont="1" applyFill="1" applyBorder="1" applyAlignment="1" applyProtection="1">
      <alignment vertical="center"/>
      <protection locked="0"/>
    </xf>
    <xf numFmtId="165" fontId="20" fillId="2" borderId="48" xfId="1" applyFont="1" applyFill="1" applyBorder="1" applyAlignment="1" applyProtection="1">
      <alignment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horizontal="right" vertical="center"/>
    </xf>
    <xf numFmtId="0" fontId="16" fillId="0" borderId="0" xfId="0" applyFont="1" applyBorder="1" applyAlignment="1">
      <alignment vertical="center"/>
    </xf>
    <xf numFmtId="0" fontId="16" fillId="0" borderId="2" xfId="0" applyFont="1" applyBorder="1" applyAlignment="1">
      <alignment vertical="center"/>
    </xf>
    <xf numFmtId="0" fontId="17" fillId="0" borderId="0"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2" borderId="12" xfId="0" applyNumberFormat="1"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6" fillId="0" borderId="8" xfId="0" applyFont="1" applyBorder="1" applyAlignment="1">
      <alignment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37" xfId="0" applyFont="1" applyBorder="1" applyAlignment="1">
      <alignment vertical="center"/>
    </xf>
    <xf numFmtId="14" fontId="22" fillId="2" borderId="27" xfId="0" applyNumberFormat="1"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28" xfId="0" applyFont="1" applyFill="1" applyBorder="1" applyAlignment="1" applyProtection="1">
      <alignment vertical="center"/>
      <protection locked="0"/>
    </xf>
    <xf numFmtId="14" fontId="22" fillId="2" borderId="30" xfId="0" applyNumberFormat="1" applyFont="1" applyFill="1" applyBorder="1" applyAlignment="1" applyProtection="1">
      <alignment vertical="center"/>
      <protection locked="0"/>
    </xf>
    <xf numFmtId="0" fontId="22" fillId="2" borderId="32" xfId="0" applyFont="1" applyFill="1" applyBorder="1" applyAlignment="1" applyProtection="1">
      <alignment vertical="center"/>
      <protection locked="0"/>
    </xf>
    <xf numFmtId="0" fontId="22" fillId="2" borderId="31" xfId="0" applyFont="1" applyFill="1" applyBorder="1" applyAlignment="1" applyProtection="1">
      <alignment vertical="center"/>
      <protection locked="0"/>
    </xf>
    <xf numFmtId="0" fontId="22" fillId="2" borderId="30" xfId="0" applyFont="1" applyFill="1" applyBorder="1" applyAlignment="1" applyProtection="1">
      <alignment vertical="center"/>
      <protection locked="0"/>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6" xfId="0" applyFont="1" applyBorder="1" applyAlignment="1">
      <alignment horizontal="right" vertical="center"/>
    </xf>
    <xf numFmtId="0" fontId="22" fillId="2" borderId="3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17" fillId="0" borderId="4" xfId="0" applyFont="1" applyBorder="1" applyAlignment="1">
      <alignment horizontal="right" vertical="center"/>
    </xf>
    <xf numFmtId="0" fontId="14" fillId="0" borderId="5" xfId="0" applyFont="1" applyBorder="1" applyAlignment="1">
      <alignment horizontal="center" vertical="center"/>
    </xf>
    <xf numFmtId="0" fontId="14" fillId="0" borderId="18" xfId="0" applyFont="1" applyBorder="1" applyAlignment="1">
      <alignment vertical="center"/>
    </xf>
    <xf numFmtId="0" fontId="14" fillId="0" borderId="12" xfId="0" applyFont="1" applyBorder="1" applyAlignment="1">
      <alignment vertical="center"/>
    </xf>
    <xf numFmtId="0" fontId="14" fillId="0" borderId="37" xfId="0" applyFont="1" applyBorder="1" applyAlignment="1">
      <alignment horizontal="left" vertical="center"/>
    </xf>
    <xf numFmtId="0" fontId="19" fillId="0" borderId="13" xfId="0" applyFont="1" applyBorder="1" applyAlignment="1">
      <alignment horizontal="center" vertical="center"/>
    </xf>
    <xf numFmtId="0" fontId="31" fillId="0" borderId="18" xfId="0" applyFont="1" applyBorder="1" applyAlignment="1">
      <alignment vertical="center"/>
    </xf>
    <xf numFmtId="0" fontId="41" fillId="0" borderId="0"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61"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49" fontId="7" fillId="0" borderId="34"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wrapText="1"/>
    </xf>
    <xf numFmtId="49" fontId="7" fillId="0" borderId="25"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0" fontId="14" fillId="0" borderId="64" xfId="0" applyFont="1" applyBorder="1" applyAlignment="1" applyProtection="1">
      <alignment vertical="center"/>
    </xf>
    <xf numFmtId="49" fontId="7" fillId="0" borderId="61" xfId="0" applyNumberFormat="1" applyFont="1" applyBorder="1" applyAlignment="1" applyProtection="1">
      <alignment vertical="center"/>
    </xf>
    <xf numFmtId="173" fontId="7" fillId="0" borderId="62" xfId="0" applyNumberFormat="1" applyFont="1" applyBorder="1" applyAlignment="1" applyProtection="1">
      <alignment vertical="center"/>
    </xf>
    <xf numFmtId="173" fontId="7" fillId="0" borderId="65" xfId="0" applyNumberFormat="1" applyFont="1" applyBorder="1" applyAlignment="1" applyProtection="1">
      <alignment vertical="center"/>
    </xf>
    <xf numFmtId="0" fontId="51" fillId="0" borderId="13"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49" fontId="7" fillId="0" borderId="67" xfId="0" applyNumberFormat="1" applyFont="1" applyFill="1" applyBorder="1" applyAlignment="1" applyProtection="1">
      <alignment horizontal="center" vertical="center" wrapText="1"/>
    </xf>
    <xf numFmtId="15" fontId="7" fillId="3" borderId="43" xfId="0" applyNumberFormat="1" applyFont="1" applyFill="1" applyBorder="1" applyAlignment="1" applyProtection="1">
      <alignment horizontal="center" vertical="center"/>
      <protection locked="0"/>
    </xf>
    <xf numFmtId="15" fontId="7" fillId="3" borderId="29" xfId="0" applyNumberFormat="1" applyFont="1" applyFill="1" applyBorder="1" applyAlignment="1" applyProtection="1">
      <alignment horizontal="center" vertical="center"/>
      <protection locked="0"/>
    </xf>
    <xf numFmtId="0" fontId="29" fillId="0" borderId="11" xfId="0" applyFont="1" applyFill="1" applyBorder="1" applyAlignment="1" applyProtection="1">
      <alignment horizontal="left" vertical="center"/>
    </xf>
    <xf numFmtId="0" fontId="14" fillId="0" borderId="16" xfId="0" applyFont="1" applyFill="1" applyBorder="1" applyAlignment="1" applyProtection="1">
      <alignment vertical="center"/>
    </xf>
    <xf numFmtId="0" fontId="25" fillId="0" borderId="43" xfId="0" applyFont="1" applyFill="1" applyBorder="1" applyAlignment="1" applyProtection="1">
      <alignment vertical="center"/>
    </xf>
    <xf numFmtId="0" fontId="5" fillId="0" borderId="68" xfId="0" applyFont="1" applyFill="1" applyBorder="1" applyAlignment="1" applyProtection="1">
      <alignment vertical="center"/>
    </xf>
    <xf numFmtId="0" fontId="40" fillId="0" borderId="68" xfId="0" applyFont="1" applyFill="1" applyBorder="1" applyAlignment="1" applyProtection="1">
      <alignment vertical="center"/>
    </xf>
    <xf numFmtId="0" fontId="5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68" xfId="0" applyFont="1" applyBorder="1" applyAlignment="1">
      <alignment horizontal="left" vertical="center"/>
    </xf>
    <xf numFmtId="0" fontId="16" fillId="0" borderId="70" xfId="0" applyFont="1" applyBorder="1" applyAlignment="1" applyProtection="1">
      <alignment horizontal="right" vertical="center"/>
    </xf>
    <xf numFmtId="176" fontId="34" fillId="0" borderId="60" xfId="0" applyNumberFormat="1" applyFont="1" applyBorder="1" applyAlignment="1" applyProtection="1">
      <alignment vertical="center"/>
    </xf>
    <xf numFmtId="0" fontId="5" fillId="0" borderId="42" xfId="0" applyFont="1" applyFill="1" applyBorder="1" applyAlignment="1" applyProtection="1">
      <alignment vertical="center"/>
    </xf>
    <xf numFmtId="0" fontId="17" fillId="0" borderId="4" xfId="0" applyFont="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56"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1" xfId="0" applyFont="1" applyFill="1" applyBorder="1" applyAlignment="1" applyProtection="1">
      <alignment vertical="center"/>
    </xf>
    <xf numFmtId="0" fontId="16" fillId="0" borderId="0" xfId="0" applyFont="1" applyFill="1" applyBorder="1" applyAlignment="1" applyProtection="1">
      <alignment horizontal="center" vertical="center"/>
    </xf>
    <xf numFmtId="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73" fontId="16" fillId="0" borderId="0" xfId="0" applyNumberFormat="1" applyFont="1" applyFill="1" applyBorder="1" applyAlignment="1" applyProtection="1">
      <alignment vertical="center"/>
    </xf>
    <xf numFmtId="10" fontId="16" fillId="0" borderId="0" xfId="16" applyNumberFormat="1" applyFont="1" applyFill="1" applyBorder="1" applyAlignment="1" applyProtection="1">
      <alignment vertical="center"/>
    </xf>
    <xf numFmtId="173" fontId="16" fillId="0" borderId="0" xfId="0" applyNumberFormat="1" applyFont="1" applyFill="1" applyBorder="1" applyAlignment="1" applyProtection="1">
      <alignment horizontal="left" vertical="center"/>
    </xf>
    <xf numFmtId="9" fontId="16" fillId="0" borderId="2" xfId="0" applyNumberFormat="1" applyFont="1" applyFill="1" applyBorder="1" applyAlignment="1" applyProtection="1">
      <alignment vertical="center"/>
    </xf>
    <xf numFmtId="173" fontId="16" fillId="0" borderId="0" xfId="0" applyNumberFormat="1" applyFont="1" applyFill="1" applyBorder="1" applyAlignment="1" applyProtection="1">
      <alignment horizontal="center" vertical="center"/>
    </xf>
    <xf numFmtId="173" fontId="17" fillId="0" borderId="0" xfId="0" applyNumberFormat="1" applyFont="1" applyFill="1" applyBorder="1" applyAlignment="1" applyProtection="1">
      <alignment vertical="center"/>
    </xf>
    <xf numFmtId="0" fontId="17" fillId="0" borderId="2" xfId="0" applyFont="1" applyFill="1" applyBorder="1" applyAlignment="1" applyProtection="1">
      <alignment vertical="center"/>
    </xf>
    <xf numFmtId="173" fontId="4" fillId="0" borderId="10" xfId="0" applyNumberFormat="1" applyFont="1" applyFill="1" applyBorder="1" applyAlignment="1" applyProtection="1">
      <alignment vertical="center"/>
    </xf>
    <xf numFmtId="0" fontId="17" fillId="0" borderId="4" xfId="0" applyFont="1" applyBorder="1" applyAlignment="1" applyProtection="1">
      <alignment horizontal="right" vertical="center"/>
    </xf>
    <xf numFmtId="173" fontId="4"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0" fontId="4" fillId="0" borderId="2" xfId="0" applyFont="1" applyBorder="1" applyAlignment="1" applyProtection="1">
      <alignment vertical="center"/>
    </xf>
    <xf numFmtId="49" fontId="17" fillId="0" borderId="0" xfId="0" applyNumberFormat="1" applyFont="1" applyBorder="1" applyAlignment="1" applyProtection="1">
      <alignment horizontal="right" vertical="center"/>
    </xf>
    <xf numFmtId="173" fontId="16" fillId="0" borderId="0" xfId="0" quotePrefix="1" applyNumberFormat="1" applyFont="1" applyFill="1" applyBorder="1" applyAlignment="1" applyProtection="1">
      <alignment horizontal="right" vertical="center"/>
    </xf>
    <xf numFmtId="173" fontId="4" fillId="0" borderId="0" xfId="0" applyNumberFormat="1" applyFont="1" applyFill="1" applyBorder="1" applyAlignment="1" applyProtection="1">
      <alignment horizontal="right" vertical="center"/>
    </xf>
    <xf numFmtId="0" fontId="4" fillId="0" borderId="0" xfId="0" applyFont="1" applyBorder="1"/>
    <xf numFmtId="176" fontId="30" fillId="0" borderId="0" xfId="15" applyNumberFormat="1" applyFont="1" applyBorder="1" applyProtection="1">
      <protection locked="0"/>
    </xf>
    <xf numFmtId="0" fontId="59" fillId="0" borderId="0" xfId="0" applyFont="1"/>
    <xf numFmtId="9" fontId="5" fillId="0" borderId="0" xfId="16" applyFont="1" applyFill="1" applyBorder="1" applyAlignment="1" applyProtection="1">
      <alignment horizontal="center" vertical="center"/>
    </xf>
    <xf numFmtId="171" fontId="4" fillId="0"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29" fillId="2" borderId="44" xfId="0" applyFont="1" applyFill="1" applyBorder="1" applyAlignment="1" applyProtection="1">
      <alignment horizontal="center" vertical="center"/>
      <protection locked="0"/>
    </xf>
    <xf numFmtId="0" fontId="7" fillId="0" borderId="18" xfId="0" applyFont="1" applyFill="1" applyBorder="1" applyAlignment="1" applyProtection="1">
      <alignment horizontal="left" vertical="center"/>
    </xf>
    <xf numFmtId="0" fontId="7" fillId="0" borderId="2" xfId="0" applyFont="1" applyFill="1" applyBorder="1" applyAlignment="1" applyProtection="1">
      <alignment vertical="center"/>
    </xf>
    <xf numFmtId="173" fontId="4" fillId="0" borderId="0" xfId="0" quotePrefix="1" applyNumberFormat="1" applyFont="1" applyBorder="1" applyAlignment="1" applyProtection="1">
      <alignment horizontal="center" vertical="center"/>
    </xf>
    <xf numFmtId="9" fontId="7" fillId="0" borderId="2" xfId="0" applyNumberFormat="1" applyFont="1" applyFill="1" applyBorder="1" applyAlignment="1" applyProtection="1">
      <alignment vertical="center"/>
    </xf>
    <xf numFmtId="173" fontId="4" fillId="0" borderId="0" xfId="0" quotePrefix="1" applyNumberFormat="1" applyFont="1" applyFill="1" applyBorder="1" applyAlignment="1" applyProtection="1">
      <alignment horizontal="right" vertical="center"/>
    </xf>
    <xf numFmtId="0" fontId="14" fillId="0" borderId="0" xfId="0" applyFont="1" applyBorder="1"/>
    <xf numFmtId="0" fontId="14" fillId="0" borderId="0" xfId="0" applyFont="1"/>
    <xf numFmtId="0" fontId="17" fillId="0" borderId="34" xfId="0" applyFont="1" applyFill="1" applyBorder="1" applyAlignment="1" applyProtection="1">
      <alignment horizontal="left" vertical="center"/>
    </xf>
    <xf numFmtId="0" fontId="31" fillId="0" borderId="2" xfId="0" applyFont="1" applyBorder="1" applyAlignment="1">
      <alignment vertical="center"/>
    </xf>
    <xf numFmtId="173" fontId="32" fillId="0" borderId="14" xfId="0" applyNumberFormat="1"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173" fontId="32" fillId="0" borderId="4" xfId="0" applyNumberFormat="1" applyFont="1" applyFill="1" applyBorder="1" applyAlignment="1" applyProtection="1">
      <alignment horizontal="right" vertical="center"/>
    </xf>
    <xf numFmtId="0" fontId="66" fillId="0" borderId="2" xfId="0" applyFont="1" applyFill="1" applyBorder="1" applyAlignment="1" applyProtection="1">
      <alignment vertical="center"/>
    </xf>
    <xf numFmtId="0" fontId="66" fillId="0" borderId="0" xfId="0" applyFont="1" applyFill="1" applyBorder="1" applyAlignment="1" applyProtection="1">
      <alignment vertical="center"/>
    </xf>
    <xf numFmtId="173" fontId="16" fillId="0" borderId="14" xfId="0" applyNumberFormat="1" applyFont="1" applyFill="1" applyBorder="1" applyAlignment="1" applyProtection="1">
      <alignment horizontal="left" vertical="center"/>
    </xf>
    <xf numFmtId="0" fontId="4" fillId="0" borderId="0" xfId="0" applyFont="1" applyBorder="1" applyAlignment="1" applyProtection="1">
      <alignment horizontal="right" vertical="center"/>
    </xf>
    <xf numFmtId="0" fontId="5" fillId="0" borderId="9" xfId="0" applyFont="1" applyFill="1" applyBorder="1" applyAlignment="1" applyProtection="1">
      <alignment vertical="center"/>
    </xf>
    <xf numFmtId="0" fontId="4" fillId="0" borderId="10" xfId="0" applyFont="1" applyFill="1" applyBorder="1" applyAlignment="1" applyProtection="1">
      <alignment horizontal="center" vertical="center"/>
    </xf>
    <xf numFmtId="173" fontId="4" fillId="0" borderId="10" xfId="0" applyNumberFormat="1" applyFont="1" applyFill="1" applyBorder="1" applyAlignment="1" applyProtection="1">
      <alignment horizontal="center" vertical="center"/>
    </xf>
    <xf numFmtId="173" fontId="4" fillId="0" borderId="10"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xf>
    <xf numFmtId="9" fontId="4" fillId="0" borderId="1" xfId="0" applyNumberFormat="1" applyFont="1" applyFill="1" applyBorder="1" applyAlignment="1" applyProtection="1">
      <alignment vertical="center"/>
    </xf>
    <xf numFmtId="0" fontId="5"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173" fontId="23" fillId="0" borderId="1" xfId="0" applyNumberFormat="1" applyFont="1" applyFill="1" applyBorder="1" applyAlignment="1" applyProtection="1">
      <alignment vertical="center"/>
    </xf>
    <xf numFmtId="0" fontId="40" fillId="0" borderId="68" xfId="0" applyFont="1" applyFill="1" applyBorder="1" applyAlignment="1" applyProtection="1">
      <alignment horizontal="right" vertical="center"/>
    </xf>
    <xf numFmtId="0" fontId="67" fillId="0" borderId="18" xfId="0" applyFont="1" applyFill="1" applyBorder="1" applyAlignment="1" applyProtection="1">
      <alignment vertical="center"/>
    </xf>
    <xf numFmtId="0" fontId="67" fillId="0" borderId="2" xfId="0" applyFont="1" applyFill="1" applyBorder="1" applyAlignment="1" applyProtection="1">
      <alignment vertical="center"/>
    </xf>
    <xf numFmtId="170" fontId="17" fillId="0" borderId="4" xfId="0" applyNumberFormat="1" applyFont="1" applyFill="1" applyBorder="1" applyAlignment="1" applyProtection="1">
      <alignment horizontal="right" vertical="center"/>
    </xf>
    <xf numFmtId="0" fontId="0" fillId="0" borderId="13" xfId="0" applyBorder="1" applyAlignment="1">
      <alignment vertical="center"/>
    </xf>
    <xf numFmtId="0" fontId="14" fillId="0" borderId="2" xfId="0" applyFont="1" applyBorder="1" applyAlignment="1" applyProtection="1">
      <alignmen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0" fontId="63" fillId="0" borderId="13" xfId="0" applyFont="1" applyBorder="1" applyAlignment="1" applyProtection="1">
      <alignment horizontal="center" vertical="center"/>
    </xf>
    <xf numFmtId="0" fontId="45" fillId="0" borderId="13" xfId="0" applyFont="1" applyBorder="1" applyAlignment="1" applyProtection="1">
      <alignment horizontal="center" vertical="center"/>
    </xf>
    <xf numFmtId="9" fontId="16" fillId="0" borderId="8" xfId="0" applyNumberFormat="1" applyFont="1" applyFill="1" applyBorder="1" applyAlignment="1" applyProtection="1">
      <alignment vertical="center"/>
    </xf>
    <xf numFmtId="0" fontId="16" fillId="0" borderId="4" xfId="0" applyFont="1" applyFill="1" applyBorder="1" applyAlignment="1" applyProtection="1">
      <alignment vertical="center"/>
    </xf>
    <xf numFmtId="0" fontId="16" fillId="0" borderId="4" xfId="0" applyFont="1" applyFill="1" applyBorder="1" applyAlignment="1" applyProtection="1">
      <alignment horizontal="left" vertical="center"/>
    </xf>
    <xf numFmtId="173" fontId="16" fillId="0" borderId="4" xfId="0" applyNumberFormat="1" applyFont="1" applyFill="1" applyBorder="1" applyAlignment="1" applyProtection="1">
      <alignment vertical="center"/>
    </xf>
    <xf numFmtId="10" fontId="16" fillId="0" borderId="4" xfId="16" applyNumberFormat="1" applyFont="1" applyFill="1" applyBorder="1" applyAlignment="1" applyProtection="1">
      <alignment vertical="center"/>
    </xf>
    <xf numFmtId="173" fontId="16" fillId="0" borderId="4" xfId="0" applyNumberFormat="1" applyFont="1" applyFill="1" applyBorder="1" applyAlignment="1" applyProtection="1">
      <alignment horizontal="center" vertical="center"/>
    </xf>
    <xf numFmtId="173" fontId="17" fillId="0" borderId="4" xfId="0" applyNumberFormat="1" applyFont="1" applyFill="1" applyBorder="1" applyAlignment="1" applyProtection="1">
      <alignment vertical="center"/>
    </xf>
    <xf numFmtId="173" fontId="16" fillId="0" borderId="4" xfId="0" applyNumberFormat="1"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Border="1" applyAlignment="1" applyProtection="1">
      <alignment vertical="center"/>
    </xf>
    <xf numFmtId="0" fontId="4" fillId="0" borderId="10" xfId="0" applyFont="1" applyBorder="1" applyAlignment="1" applyProtection="1">
      <alignment horizontal="left" vertical="center"/>
    </xf>
    <xf numFmtId="0" fontId="14" fillId="0" borderId="56" xfId="0" applyFont="1" applyBorder="1" applyAlignment="1" applyProtection="1">
      <alignment vertical="center"/>
    </xf>
    <xf numFmtId="0" fontId="14"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3" fillId="0" borderId="68" xfId="0" applyFont="1" applyFill="1" applyBorder="1" applyAlignment="1" applyProtection="1">
      <alignment vertical="center"/>
    </xf>
    <xf numFmtId="170" fontId="32" fillId="0" borderId="0" xfId="0" applyNumberFormat="1" applyFont="1" applyFill="1" applyBorder="1" applyAlignment="1" applyProtection="1">
      <alignment vertical="center"/>
    </xf>
    <xf numFmtId="0" fontId="32" fillId="0" borderId="16" xfId="0" applyFont="1" applyFill="1" applyBorder="1" applyAlignment="1" applyProtection="1">
      <alignment vertical="center"/>
    </xf>
    <xf numFmtId="0" fontId="23" fillId="0" borderId="16" xfId="0" applyFont="1" applyFill="1" applyBorder="1" applyAlignment="1" applyProtection="1">
      <alignment vertical="center"/>
    </xf>
    <xf numFmtId="170" fontId="23" fillId="0" borderId="16" xfId="0" applyNumberFormat="1" applyFont="1" applyFill="1" applyBorder="1" applyAlignment="1" applyProtection="1">
      <alignment vertical="center"/>
    </xf>
    <xf numFmtId="0" fontId="45" fillId="0" borderId="75" xfId="0" applyFont="1" applyFill="1" applyBorder="1" applyAlignment="1" applyProtection="1">
      <alignment vertical="center"/>
    </xf>
    <xf numFmtId="173" fontId="32" fillId="0" borderId="19"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xf>
    <xf numFmtId="0" fontId="55" fillId="0" borderId="13" xfId="0" applyFont="1" applyBorder="1" applyAlignment="1" applyProtection="1">
      <alignment horizontal="left" vertical="center"/>
    </xf>
    <xf numFmtId="0" fontId="55" fillId="0" borderId="20" xfId="0" applyFont="1" applyBorder="1" applyAlignment="1" applyProtection="1">
      <alignment horizontal="left" vertical="center"/>
    </xf>
    <xf numFmtId="0" fontId="56" fillId="0" borderId="0" xfId="0" applyFont="1" applyBorder="1" applyAlignment="1" applyProtection="1">
      <alignment horizontal="left" vertical="center"/>
    </xf>
    <xf numFmtId="173" fontId="32" fillId="0" borderId="1" xfId="0" applyNumberFormat="1" applyFont="1" applyFill="1" applyBorder="1" applyAlignment="1" applyProtection="1">
      <alignment horizontal="right" vertical="center"/>
    </xf>
    <xf numFmtId="0" fontId="34" fillId="0" borderId="0" xfId="0"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17" fillId="0" borderId="2" xfId="0" applyFont="1" applyBorder="1" applyAlignment="1" applyProtection="1">
      <alignment horizontal="righ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57" fillId="0" borderId="0" xfId="0" applyFont="1" applyBorder="1" applyAlignment="1" applyProtection="1">
      <alignment horizontal="left" vertical="center"/>
    </xf>
    <xf numFmtId="0" fontId="34" fillId="0" borderId="12" xfId="0" applyFont="1" applyBorder="1" applyAlignment="1" applyProtection="1">
      <alignment vertical="center"/>
    </xf>
    <xf numFmtId="180" fontId="47" fillId="0" borderId="77" xfId="0" applyNumberFormat="1" applyFont="1" applyBorder="1" applyAlignment="1" applyProtection="1">
      <alignment horizontal="left" vertical="center"/>
    </xf>
    <xf numFmtId="49" fontId="34" fillId="0" borderId="26" xfId="0" applyNumberFormat="1" applyFont="1" applyBorder="1" applyAlignment="1" applyProtection="1">
      <alignment horizontal="left" vertical="center"/>
    </xf>
    <xf numFmtId="0" fontId="34" fillId="0" borderId="44" xfId="0" applyFont="1" applyBorder="1" applyAlignment="1" applyProtection="1">
      <alignment vertical="center"/>
    </xf>
    <xf numFmtId="0" fontId="16" fillId="0" borderId="22" xfId="0" applyFont="1" applyBorder="1" applyAlignment="1" applyProtection="1">
      <alignment vertical="center"/>
    </xf>
    <xf numFmtId="0" fontId="75" fillId="0" borderId="9" xfId="0" applyFont="1" applyBorder="1" applyAlignment="1" applyProtection="1">
      <alignment horizontal="center" vertical="center"/>
    </xf>
    <xf numFmtId="49" fontId="17" fillId="2" borderId="78" xfId="0" applyNumberFormat="1" applyFont="1" applyFill="1" applyBorder="1" applyAlignment="1" applyProtection="1">
      <alignment vertical="center"/>
      <protection locked="0"/>
    </xf>
    <xf numFmtId="0" fontId="14" fillId="0" borderId="68" xfId="0" applyFont="1" applyBorder="1" applyAlignment="1" applyProtection="1">
      <alignment vertical="center"/>
    </xf>
    <xf numFmtId="0" fontId="14" fillId="0" borderId="2" xfId="0" applyFont="1" applyBorder="1" applyAlignment="1" applyProtection="1">
      <alignment vertical="center" wrapText="1"/>
    </xf>
    <xf numFmtId="0" fontId="16" fillId="0" borderId="53" xfId="0" applyFont="1" applyBorder="1" applyAlignment="1" applyProtection="1">
      <alignment vertical="center"/>
    </xf>
    <xf numFmtId="0" fontId="16" fillId="0" borderId="43" xfId="0" applyFont="1" applyBorder="1" applyAlignment="1">
      <alignment horizontal="right" vertical="center"/>
    </xf>
    <xf numFmtId="174" fontId="16" fillId="4" borderId="79" xfId="0" applyNumberFormat="1" applyFont="1" applyFill="1" applyBorder="1" applyAlignment="1" applyProtection="1">
      <alignment vertical="center"/>
    </xf>
    <xf numFmtId="0" fontId="17" fillId="0" borderId="74" xfId="0" applyFont="1" applyBorder="1" applyAlignment="1" applyProtection="1">
      <alignment horizontal="right" vertical="center"/>
    </xf>
    <xf numFmtId="0" fontId="75" fillId="0" borderId="9" xfId="0" applyFont="1" applyBorder="1" applyAlignment="1" applyProtection="1">
      <alignment vertical="center"/>
    </xf>
    <xf numFmtId="0" fontId="63" fillId="0" borderId="13" xfId="0" applyFont="1" applyBorder="1" applyAlignment="1" applyProtection="1">
      <alignment vertical="center"/>
    </xf>
    <xf numFmtId="0" fontId="14" fillId="0" borderId="13" xfId="0" applyFont="1" applyBorder="1" applyAlignment="1" applyProtection="1">
      <alignment vertical="center"/>
    </xf>
    <xf numFmtId="0" fontId="64" fillId="0" borderId="13" xfId="0" applyFont="1" applyBorder="1" applyAlignment="1" applyProtection="1">
      <alignment horizontal="center" vertical="center"/>
    </xf>
    <xf numFmtId="0" fontId="64" fillId="0" borderId="20" xfId="0" applyFont="1" applyBorder="1" applyAlignment="1" applyProtection="1">
      <alignment horizontal="center" vertical="center"/>
    </xf>
    <xf numFmtId="0" fontId="9" fillId="0" borderId="0" xfId="0" applyFont="1" applyBorder="1" applyAlignment="1" applyProtection="1">
      <alignment vertical="center"/>
    </xf>
    <xf numFmtId="0" fontId="64" fillId="0" borderId="0" xfId="0" applyFont="1" applyBorder="1" applyAlignment="1" applyProtection="1">
      <alignment vertical="center"/>
    </xf>
    <xf numFmtId="0" fontId="64" fillId="0" borderId="5" xfId="0" applyFont="1" applyBorder="1" applyAlignment="1" applyProtection="1">
      <alignment vertical="center"/>
    </xf>
    <xf numFmtId="0" fontId="14" fillId="0" borderId="74" xfId="0" applyFont="1" applyBorder="1" applyAlignment="1" applyProtection="1">
      <alignment vertical="center"/>
    </xf>
    <xf numFmtId="0" fontId="14" fillId="0" borderId="19" xfId="0" applyFont="1" applyBorder="1" applyAlignment="1" applyProtection="1">
      <alignment vertical="center"/>
    </xf>
    <xf numFmtId="0" fontId="16" fillId="0" borderId="43" xfId="0" applyFont="1" applyBorder="1" applyAlignment="1" applyProtection="1">
      <alignment horizontal="right" vertical="center"/>
    </xf>
    <xf numFmtId="0" fontId="16" fillId="0" borderId="80" xfId="0" applyFont="1" applyFill="1" applyBorder="1" applyAlignment="1" applyProtection="1">
      <alignment horizontal="right" vertical="center"/>
    </xf>
    <xf numFmtId="0" fontId="16" fillId="0" borderId="81" xfId="0" applyFont="1" applyBorder="1" applyAlignment="1" applyProtection="1">
      <alignment horizontal="right" vertical="center"/>
    </xf>
    <xf numFmtId="0" fontId="16" fillId="0" borderId="82" xfId="0" applyFont="1" applyBorder="1" applyAlignment="1" applyProtection="1">
      <alignment horizontal="right" vertical="center"/>
    </xf>
    <xf numFmtId="0" fontId="16" fillId="0" borderId="83" xfId="0" applyFont="1" applyBorder="1" applyAlignment="1" applyProtection="1">
      <alignment horizontal="right" vertical="center"/>
    </xf>
    <xf numFmtId="0" fontId="16" fillId="0" borderId="84" xfId="0" applyFont="1" applyBorder="1" applyAlignment="1" applyProtection="1">
      <alignment horizontal="right" vertical="center"/>
    </xf>
    <xf numFmtId="0" fontId="16" fillId="0" borderId="85" xfId="0" applyFont="1" applyBorder="1" applyAlignment="1" applyProtection="1">
      <alignment horizontal="right" vertical="center"/>
    </xf>
    <xf numFmtId="0" fontId="16" fillId="0" borderId="81" xfId="0" applyFont="1" applyFill="1" applyBorder="1" applyAlignment="1" applyProtection="1">
      <alignment horizontal="right" vertical="center"/>
    </xf>
    <xf numFmtId="0" fontId="16" fillId="0" borderId="26" xfId="0" applyFont="1" applyBorder="1" applyAlignment="1">
      <alignment horizontal="left" vertical="center"/>
    </xf>
    <xf numFmtId="0" fontId="16" fillId="0" borderId="86" xfId="0" applyFont="1" applyBorder="1" applyAlignment="1" applyProtection="1">
      <alignment vertical="center"/>
    </xf>
    <xf numFmtId="0" fontId="16" fillId="5" borderId="87" xfId="0" applyFont="1" applyFill="1" applyBorder="1" applyAlignment="1" applyProtection="1">
      <alignment horizontal="right" vertical="center"/>
    </xf>
    <xf numFmtId="0" fontId="16" fillId="0" borderId="70" xfId="0" applyFont="1" applyFill="1" applyBorder="1" applyAlignment="1" applyProtection="1">
      <alignment horizontal="right" vertical="center"/>
    </xf>
    <xf numFmtId="0" fontId="16" fillId="0" borderId="7" xfId="0" applyFont="1" applyBorder="1" applyAlignment="1" applyProtection="1">
      <alignment vertical="center"/>
    </xf>
    <xf numFmtId="0" fontId="16" fillId="0" borderId="88" xfId="0" applyFont="1" applyBorder="1" applyAlignment="1" applyProtection="1">
      <alignment vertical="center"/>
    </xf>
    <xf numFmtId="0" fontId="16" fillId="0" borderId="89" xfId="0" applyFont="1" applyFill="1" applyBorder="1" applyAlignment="1" applyProtection="1">
      <alignment horizontal="right" vertical="center"/>
    </xf>
    <xf numFmtId="0" fontId="16" fillId="0" borderId="90"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4" fillId="0" borderId="7" xfId="0" applyFont="1" applyBorder="1" applyAlignment="1">
      <alignment horizontal="right" vertical="center"/>
    </xf>
    <xf numFmtId="49" fontId="17" fillId="2" borderId="6" xfId="0" applyNumberFormat="1" applyFont="1" applyFill="1" applyBorder="1" applyAlignment="1" applyProtection="1">
      <alignment horizontal="left" vertical="center"/>
      <protection locked="0"/>
    </xf>
    <xf numFmtId="49" fontId="17" fillId="2" borderId="12"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horizontal="right" vertical="center"/>
    </xf>
    <xf numFmtId="0" fontId="16" fillId="0" borderId="6" xfId="0" applyFont="1" applyBorder="1" applyAlignment="1" applyProtection="1">
      <alignment horizontal="right" vertical="center"/>
    </xf>
    <xf numFmtId="0" fontId="14" fillId="0" borderId="91" xfId="0" applyFont="1" applyBorder="1" applyAlignment="1">
      <alignment vertical="center"/>
    </xf>
    <xf numFmtId="0" fontId="14" fillId="0" borderId="83" xfId="0" applyFont="1" applyBorder="1" applyAlignment="1">
      <alignment vertical="center"/>
    </xf>
    <xf numFmtId="49" fontId="17" fillId="2" borderId="26" xfId="0" applyNumberFormat="1" applyFont="1" applyFill="1" applyBorder="1" applyAlignment="1" applyProtection="1">
      <alignment vertical="center"/>
      <protection locked="0"/>
    </xf>
    <xf numFmtId="0" fontId="14" fillId="0" borderId="92" xfId="0" applyFont="1" applyBorder="1" applyAlignment="1">
      <alignment vertical="center"/>
    </xf>
    <xf numFmtId="0" fontId="14" fillId="0" borderId="93" xfId="0" applyFont="1" applyBorder="1" applyAlignment="1">
      <alignment horizontal="right" vertical="center"/>
    </xf>
    <xf numFmtId="0" fontId="14" fillId="0" borderId="94" xfId="0" applyFont="1" applyBorder="1" applyAlignment="1">
      <alignment horizontal="right" vertical="center"/>
    </xf>
    <xf numFmtId="0" fontId="14" fillId="0" borderId="83" xfId="0" applyFont="1" applyBorder="1" applyAlignment="1">
      <alignment horizontal="right" vertical="center"/>
    </xf>
    <xf numFmtId="0" fontId="73" fillId="0" borderId="18" xfId="0" applyFont="1" applyBorder="1" applyAlignment="1" applyProtection="1">
      <alignment horizontal="left" vertical="center"/>
    </xf>
    <xf numFmtId="0" fontId="78" fillId="0" borderId="13" xfId="0" applyFont="1" applyBorder="1" applyAlignment="1" applyProtection="1">
      <alignment horizontal="center" vertical="center"/>
    </xf>
    <xf numFmtId="0" fontId="14" fillId="0" borderId="13" xfId="0" applyFont="1" applyBorder="1" applyAlignment="1" applyProtection="1">
      <alignment horizontal="center" vertical="center"/>
    </xf>
    <xf numFmtId="0" fontId="78" fillId="0" borderId="2" xfId="0" applyFont="1" applyBorder="1" applyAlignment="1" applyProtection="1">
      <alignment horizontal="center" vertical="center"/>
    </xf>
    <xf numFmtId="0" fontId="78" fillId="0" borderId="0" xfId="0" applyFont="1" applyBorder="1" applyAlignment="1" applyProtection="1">
      <alignment horizontal="center" vertical="center"/>
    </xf>
    <xf numFmtId="0" fontId="14" fillId="0" borderId="4" xfId="0" applyFont="1" applyBorder="1" applyAlignment="1" applyProtection="1">
      <alignment horizontal="right" vertical="center"/>
    </xf>
    <xf numFmtId="0" fontId="34" fillId="0" borderId="28" xfId="0" applyFont="1" applyBorder="1" applyAlignment="1" applyProtection="1">
      <alignment vertical="center"/>
    </xf>
    <xf numFmtId="0" fontId="14" fillId="0" borderId="28" xfId="0" applyFont="1" applyBorder="1" applyAlignment="1" applyProtection="1">
      <alignment vertical="center"/>
    </xf>
    <xf numFmtId="0" fontId="34" fillId="0" borderId="0" xfId="0" applyFont="1" applyBorder="1" applyAlignment="1" applyProtection="1">
      <alignment vertical="center"/>
    </xf>
    <xf numFmtId="0" fontId="14" fillId="0" borderId="43" xfId="0" applyFont="1" applyBorder="1" applyAlignment="1" applyProtection="1">
      <alignment horizontal="right" vertical="center"/>
    </xf>
    <xf numFmtId="0" fontId="14" fillId="0" borderId="0" xfId="0" applyNumberFormat="1" applyFont="1" applyBorder="1" applyAlignment="1" applyProtection="1">
      <alignment vertical="center"/>
    </xf>
    <xf numFmtId="0" fontId="14" fillId="0" borderId="5" xfId="0" applyFont="1" applyBorder="1" applyAlignment="1" applyProtection="1">
      <alignment vertical="center"/>
    </xf>
    <xf numFmtId="0" fontId="14" fillId="0" borderId="37" xfId="0" applyFont="1" applyBorder="1" applyAlignment="1" applyProtection="1">
      <alignment vertical="center"/>
    </xf>
    <xf numFmtId="0" fontId="14" fillId="0" borderId="38" xfId="0" applyFont="1" applyBorder="1" applyAlignment="1" applyProtection="1">
      <alignment vertical="center"/>
    </xf>
    <xf numFmtId="0" fontId="16" fillId="0" borderId="16" xfId="0" applyFont="1" applyBorder="1" applyAlignment="1" applyProtection="1">
      <alignment vertical="center"/>
    </xf>
    <xf numFmtId="0" fontId="16" fillId="0" borderId="29" xfId="0" applyFont="1" applyBorder="1" applyAlignment="1" applyProtection="1">
      <alignment vertical="center"/>
    </xf>
    <xf numFmtId="0" fontId="16" fillId="0" borderId="60" xfId="0" applyFont="1" applyBorder="1" applyAlignment="1" applyProtection="1">
      <alignment vertical="center"/>
    </xf>
    <xf numFmtId="0" fontId="14" fillId="0" borderId="0" xfId="0" applyFont="1" applyBorder="1" applyAlignment="1" applyProtection="1">
      <alignment horizontal="center" vertical="center"/>
    </xf>
    <xf numFmtId="0" fontId="14" fillId="0" borderId="9" xfId="0" applyFont="1" applyBorder="1" applyAlignment="1" applyProtection="1">
      <alignment vertical="center"/>
    </xf>
    <xf numFmtId="0" fontId="14" fillId="0" borderId="14" xfId="0" applyFont="1" applyBorder="1" applyAlignment="1" applyProtection="1">
      <alignment vertical="center"/>
    </xf>
    <xf numFmtId="0" fontId="16" fillId="0" borderId="14" xfId="0" applyFont="1" applyBorder="1" applyAlignment="1" applyProtection="1">
      <alignment vertical="center"/>
    </xf>
    <xf numFmtId="0" fontId="16" fillId="0" borderId="19" xfId="0" applyFont="1" applyBorder="1" applyAlignment="1" applyProtection="1">
      <alignment vertical="center"/>
    </xf>
    <xf numFmtId="0" fontId="16" fillId="0" borderId="0" xfId="0" applyFont="1" applyBorder="1" applyAlignment="1" applyProtection="1">
      <alignment horizontal="right" vertical="center"/>
    </xf>
    <xf numFmtId="0" fontId="69" fillId="0" borderId="10" xfId="14" applyFont="1" applyFill="1" applyBorder="1" applyAlignment="1" applyProtection="1">
      <alignment vertical="center"/>
    </xf>
    <xf numFmtId="177" fontId="81" fillId="0" borderId="18" xfId="14" applyNumberFormat="1" applyFont="1" applyFill="1" applyBorder="1" applyAlignment="1" applyProtection="1">
      <alignment vertical="center"/>
    </xf>
    <xf numFmtId="0" fontId="80" fillId="0" borderId="13" xfId="14" applyFont="1" applyFill="1" applyBorder="1" applyAlignment="1" applyProtection="1">
      <alignment horizontal="right" vertical="center"/>
    </xf>
    <xf numFmtId="0" fontId="69" fillId="0" borderId="13" xfId="14" applyFont="1" applyFill="1" applyBorder="1" applyAlignment="1" applyProtection="1">
      <alignment vertical="center"/>
    </xf>
    <xf numFmtId="0" fontId="15" fillId="0" borderId="13" xfId="0" applyFont="1" applyBorder="1" applyAlignment="1" applyProtection="1">
      <alignment horizontal="right" vertical="center"/>
    </xf>
    <xf numFmtId="0" fontId="69" fillId="0" borderId="20" xfId="14" applyFont="1" applyFill="1" applyBorder="1" applyAlignment="1" applyProtection="1">
      <alignment vertical="center"/>
    </xf>
    <xf numFmtId="0" fontId="70" fillId="0" borderId="9" xfId="0" applyFont="1" applyFill="1" applyBorder="1" applyAlignment="1" applyProtection="1">
      <alignment horizontal="center" vertical="center" wrapText="1"/>
    </xf>
    <xf numFmtId="0" fontId="70" fillId="0" borderId="10" xfId="14" applyFont="1" applyFill="1" applyBorder="1" applyAlignment="1" applyProtection="1">
      <alignment vertical="center"/>
    </xf>
    <xf numFmtId="0" fontId="15" fillId="0" borderId="10" xfId="0" applyFont="1" applyBorder="1" applyAlignment="1" applyProtection="1">
      <alignment horizontal="right" vertical="center"/>
    </xf>
    <xf numFmtId="0" fontId="69" fillId="0" borderId="73" xfId="14" applyFont="1" applyFill="1" applyBorder="1" applyAlignment="1" applyProtection="1">
      <alignment vertical="center"/>
    </xf>
    <xf numFmtId="0" fontId="6" fillId="0" borderId="25" xfId="0" applyFont="1" applyFill="1" applyBorder="1" applyAlignment="1" applyProtection="1">
      <alignment horizontal="center" vertical="center" wrapText="1"/>
    </xf>
    <xf numFmtId="0" fontId="71" fillId="0" borderId="12" xfId="0" applyFont="1" applyFill="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71" fillId="0" borderId="38" xfId="0" applyFont="1" applyFill="1" applyBorder="1" applyAlignment="1" applyProtection="1">
      <alignment horizontal="center" vertical="center" wrapText="1"/>
    </xf>
    <xf numFmtId="49" fontId="5" fillId="0" borderId="25"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74" fillId="0" borderId="2" xfId="0" applyNumberFormat="1" applyFont="1" applyFill="1" applyBorder="1" applyAlignment="1" applyProtection="1">
      <alignment horizontal="left" vertical="center"/>
    </xf>
    <xf numFmtId="4" fontId="14" fillId="0" borderId="69" xfId="0" applyNumberFormat="1" applyFont="1" applyBorder="1" applyAlignment="1" applyProtection="1">
      <alignment vertical="center"/>
    </xf>
    <xf numFmtId="0" fontId="17" fillId="0" borderId="19" xfId="0" applyFont="1" applyBorder="1" applyAlignment="1" applyProtection="1">
      <alignment horizontal="right" vertical="center"/>
    </xf>
    <xf numFmtId="0" fontId="16" fillId="0" borderId="78" xfId="0" applyFont="1" applyBorder="1" applyAlignment="1" applyProtection="1">
      <alignment horizontal="left" vertical="center"/>
    </xf>
    <xf numFmtId="0" fontId="17" fillId="0" borderId="37" xfId="0" applyFont="1" applyBorder="1" applyAlignment="1" applyProtection="1">
      <alignment horizontal="left" vertical="center"/>
    </xf>
    <xf numFmtId="0" fontId="14" fillId="0" borderId="8" xfId="0" applyFont="1" applyBorder="1" applyAlignment="1" applyProtection="1">
      <alignment vertical="center"/>
    </xf>
    <xf numFmtId="165" fontId="16" fillId="0" borderId="95" xfId="0" applyNumberFormat="1" applyFont="1" applyFill="1" applyBorder="1" applyAlignment="1" applyProtection="1">
      <alignment horizontal="right" vertical="center"/>
    </xf>
    <xf numFmtId="165" fontId="16" fillId="6" borderId="97" xfId="0" applyNumberFormat="1" applyFont="1" applyFill="1" applyBorder="1" applyAlignment="1" applyProtection="1">
      <alignment horizontal="right" vertical="center"/>
    </xf>
    <xf numFmtId="176" fontId="17" fillId="0" borderId="98" xfId="0" applyNumberFormat="1" applyFont="1" applyFill="1" applyBorder="1" applyAlignment="1" applyProtection="1">
      <alignment horizontal="right" vertical="center"/>
    </xf>
    <xf numFmtId="0" fontId="31" fillId="0" borderId="0" xfId="0" applyFont="1" applyBorder="1" applyAlignment="1" applyProtection="1">
      <alignment horizontal="right" vertical="center"/>
    </xf>
    <xf numFmtId="0" fontId="14" fillId="0" borderId="0" xfId="0" applyFont="1" applyBorder="1" applyAlignment="1" applyProtection="1">
      <alignment horizontal="right" vertical="center"/>
    </xf>
    <xf numFmtId="0" fontId="34" fillId="0" borderId="12" xfId="0" applyFont="1" applyBorder="1" applyAlignment="1" applyProtection="1">
      <alignment horizontal="left" vertical="center"/>
    </xf>
    <xf numFmtId="0" fontId="16" fillId="0" borderId="44" xfId="0" applyFont="1" applyBorder="1" applyAlignment="1" applyProtection="1">
      <alignment vertical="center"/>
    </xf>
    <xf numFmtId="49" fontId="34" fillId="0" borderId="6" xfId="0" applyNumberFormat="1" applyFont="1" applyBorder="1" applyAlignment="1" applyProtection="1">
      <alignment vertical="center"/>
    </xf>
    <xf numFmtId="0" fontId="16" fillId="0" borderId="6" xfId="0" applyFont="1" applyBorder="1" applyAlignment="1" applyProtection="1">
      <alignment vertical="center"/>
    </xf>
    <xf numFmtId="0" fontId="17" fillId="0" borderId="99" xfId="0" applyFont="1" applyBorder="1" applyAlignment="1" applyProtection="1">
      <alignment horizontal="right" vertical="center"/>
    </xf>
    <xf numFmtId="49" fontId="34" fillId="0" borderId="44" xfId="0" applyNumberFormat="1" applyFont="1" applyBorder="1" applyAlignment="1" applyProtection="1">
      <alignment vertical="center"/>
    </xf>
    <xf numFmtId="0" fontId="14" fillId="0" borderId="12" xfId="0" applyFont="1" applyBorder="1" applyAlignment="1" applyProtection="1">
      <alignment vertical="center"/>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6" fillId="0" borderId="40" xfId="0" applyFont="1" applyFill="1" applyBorder="1" applyAlignment="1" applyProtection="1">
      <alignment horizontal="left" vertical="center"/>
    </xf>
    <xf numFmtId="0" fontId="83" fillId="0" borderId="33" xfId="0" applyFont="1" applyBorder="1" applyAlignment="1" applyProtection="1">
      <alignment horizontal="left" vertical="center"/>
    </xf>
    <xf numFmtId="0" fontId="82" fillId="0" borderId="0" xfId="0" applyFont="1" applyBorder="1" applyAlignment="1" applyProtection="1">
      <alignment horizontal="left" vertical="center"/>
    </xf>
    <xf numFmtId="183" fontId="17" fillId="2" borderId="12" xfId="0" applyNumberFormat="1" applyFont="1" applyFill="1" applyBorder="1" applyAlignment="1" applyProtection="1">
      <alignment horizontal="left" vertical="center"/>
      <protection locked="0"/>
    </xf>
    <xf numFmtId="0" fontId="84" fillId="0" borderId="0" xfId="0" applyFont="1" applyBorder="1" applyAlignment="1" applyProtection="1">
      <alignment horizontal="left" vertical="center"/>
    </xf>
    <xf numFmtId="0" fontId="29" fillId="2" borderId="28" xfId="0" applyFont="1" applyFill="1" applyBorder="1" applyAlignment="1" applyProtection="1">
      <alignment horizontal="center" vertical="center"/>
      <protection locked="0"/>
    </xf>
    <xf numFmtId="0" fontId="43" fillId="0" borderId="100" xfId="0" applyFont="1" applyFill="1" applyBorder="1" applyAlignment="1" applyProtection="1">
      <alignment horizontal="left" vertical="center"/>
    </xf>
    <xf numFmtId="0" fontId="16" fillId="0" borderId="43" xfId="0" applyFont="1" applyFill="1" applyBorder="1" applyAlignment="1" applyProtection="1">
      <alignment horizontal="right" vertical="center"/>
    </xf>
    <xf numFmtId="0" fontId="4" fillId="5" borderId="2" xfId="0" applyFont="1" applyFill="1" applyBorder="1" applyAlignment="1" applyProtection="1">
      <alignment vertical="center"/>
    </xf>
    <xf numFmtId="0" fontId="16" fillId="5" borderId="0" xfId="0" applyFont="1" applyFill="1" applyBorder="1" applyAlignment="1" applyProtection="1">
      <alignment vertical="center"/>
    </xf>
    <xf numFmtId="0" fontId="65" fillId="5" borderId="22" xfId="0" applyFont="1" applyFill="1" applyBorder="1" applyAlignment="1" applyProtection="1">
      <alignment horizontal="right" vertical="center"/>
    </xf>
    <xf numFmtId="177" fontId="31" fillId="0" borderId="0" xfId="14" applyNumberFormat="1" applyFont="1" applyBorder="1" applyAlignment="1" applyProtection="1">
      <alignment horizontal="left" vertical="center"/>
    </xf>
    <xf numFmtId="49" fontId="34" fillId="0" borderId="79" xfId="0" applyNumberFormat="1" applyFont="1" applyFill="1" applyBorder="1" applyAlignment="1" applyProtection="1">
      <alignment horizontal="left" vertical="center"/>
    </xf>
    <xf numFmtId="49" fontId="34" fillId="0" borderId="26" xfId="0" applyNumberFormat="1" applyFont="1" applyFill="1" applyBorder="1" applyAlignment="1" applyProtection="1">
      <alignment horizontal="left" vertical="center"/>
    </xf>
    <xf numFmtId="49" fontId="34" fillId="0" borderId="79" xfId="0" applyNumberFormat="1" applyFont="1" applyBorder="1" applyAlignment="1" applyProtection="1">
      <alignment horizontal="left" vertical="center"/>
    </xf>
    <xf numFmtId="49" fontId="16" fillId="0" borderId="26" xfId="0" applyNumberFormat="1" applyFont="1" applyBorder="1" applyAlignment="1" applyProtection="1">
      <alignment vertical="center"/>
    </xf>
    <xf numFmtId="182" fontId="14" fillId="0" borderId="60" xfId="0" applyNumberFormat="1" applyFont="1" applyBorder="1" applyAlignment="1" applyProtection="1">
      <alignment vertical="center"/>
    </xf>
    <xf numFmtId="182" fontId="34" fillId="0" borderId="12" xfId="0" applyNumberFormat="1" applyFont="1" applyBorder="1" applyAlignment="1" applyProtection="1">
      <alignment horizontal="left" vertical="center"/>
    </xf>
    <xf numFmtId="49" fontId="34" fillId="0" borderId="78" xfId="0" applyNumberFormat="1" applyFont="1" applyBorder="1" applyAlignment="1" applyProtection="1">
      <alignment horizontal="left" vertical="center"/>
    </xf>
    <xf numFmtId="0" fontId="78" fillId="0" borderId="2" xfId="0" applyFont="1" applyBorder="1" applyAlignment="1" applyProtection="1">
      <alignment horizontal="left" vertical="center"/>
    </xf>
    <xf numFmtId="0" fontId="34" fillId="0" borderId="101" xfId="0" applyFont="1" applyBorder="1" applyAlignment="1" applyProtection="1">
      <alignment horizontal="left" vertical="center"/>
    </xf>
    <xf numFmtId="0" fontId="16" fillId="0" borderId="68" xfId="0" applyFont="1" applyBorder="1" applyAlignment="1" applyProtection="1">
      <alignment vertical="center"/>
    </xf>
    <xf numFmtId="181" fontId="20" fillId="2" borderId="102" xfId="0" applyNumberFormat="1" applyFont="1" applyFill="1" applyBorder="1" applyAlignment="1" applyProtection="1">
      <alignment vertical="center"/>
      <protection locked="0"/>
    </xf>
    <xf numFmtId="181" fontId="20" fillId="2" borderId="1" xfId="0" applyNumberFormat="1" applyFont="1" applyFill="1" applyBorder="1" applyAlignment="1" applyProtection="1">
      <alignment vertical="center"/>
      <protection locked="0"/>
    </xf>
    <xf numFmtId="181" fontId="20" fillId="2" borderId="103" xfId="0" applyNumberFormat="1" applyFont="1" applyFill="1" applyBorder="1" applyAlignment="1" applyProtection="1">
      <alignment vertical="center"/>
      <protection locked="0"/>
    </xf>
    <xf numFmtId="0" fontId="14" fillId="0" borderId="60" xfId="0" applyFont="1" applyBorder="1" applyAlignment="1" applyProtection="1">
      <alignment vertical="center"/>
    </xf>
    <xf numFmtId="0" fontId="14" fillId="0" borderId="73" xfId="0" applyFont="1" applyBorder="1" applyAlignment="1" applyProtection="1">
      <alignment vertical="center"/>
    </xf>
    <xf numFmtId="0" fontId="86" fillId="0" borderId="68" xfId="0" applyFont="1" applyFill="1" applyBorder="1" applyAlignment="1" applyProtection="1">
      <alignment vertical="center"/>
    </xf>
    <xf numFmtId="0" fontId="87" fillId="0" borderId="68" xfId="0" applyFont="1" applyFill="1" applyBorder="1" applyAlignment="1" applyProtection="1">
      <alignment horizontal="right" vertical="center"/>
    </xf>
    <xf numFmtId="0" fontId="29" fillId="0" borderId="68"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65" fillId="0" borderId="5" xfId="0" applyFont="1" applyBorder="1" applyAlignment="1" applyProtection="1"/>
    <xf numFmtId="0" fontId="75" fillId="0" borderId="2" xfId="0" applyFont="1" applyBorder="1" applyAlignment="1" applyProtection="1">
      <alignment horizontal="left" vertical="center"/>
    </xf>
    <xf numFmtId="0" fontId="16" fillId="0" borderId="104" xfId="0" applyFont="1" applyBorder="1" applyAlignment="1" applyProtection="1">
      <alignment horizontal="right" vertical="center"/>
    </xf>
    <xf numFmtId="0" fontId="14" fillId="0" borderId="2" xfId="0" applyFont="1" applyBorder="1" applyAlignment="1" applyProtection="1">
      <alignment horizontal="right" vertical="center" wrapText="1"/>
    </xf>
    <xf numFmtId="0" fontId="14" fillId="0" borderId="9" xfId="0" applyFont="1" applyBorder="1" applyAlignment="1" applyProtection="1">
      <alignment horizontal="right" vertical="center"/>
    </xf>
    <xf numFmtId="0" fontId="29" fillId="0" borderId="6" xfId="0" applyFont="1" applyFill="1" applyBorder="1" applyAlignment="1" applyProtection="1">
      <alignment horizontal="center" vertical="center"/>
    </xf>
    <xf numFmtId="0" fontId="17" fillId="7" borderId="105" xfId="0" applyFont="1" applyFill="1" applyBorder="1" applyAlignment="1" applyProtection="1">
      <alignment horizontal="center" vertical="top" wrapText="1"/>
    </xf>
    <xf numFmtId="165" fontId="16" fillId="0" borderId="22" xfId="0" applyNumberFormat="1" applyFont="1" applyFill="1" applyBorder="1" applyAlignment="1" applyProtection="1">
      <alignment horizontal="right" vertical="center"/>
    </xf>
    <xf numFmtId="165" fontId="16" fillId="6" borderId="22" xfId="0" applyNumberFormat="1" applyFont="1" applyFill="1" applyBorder="1" applyAlignment="1" applyProtection="1">
      <alignment horizontal="right" vertical="center"/>
    </xf>
    <xf numFmtId="0" fontId="17" fillId="8" borderId="106" xfId="0" applyFont="1" applyFill="1" applyBorder="1" applyAlignment="1" applyProtection="1">
      <alignment horizontal="center" vertical="top" wrapText="1"/>
    </xf>
    <xf numFmtId="0" fontId="14" fillId="0" borderId="91" xfId="0" applyFont="1" applyBorder="1" applyAlignment="1" applyProtection="1">
      <alignment vertical="center"/>
    </xf>
    <xf numFmtId="49" fontId="17" fillId="9" borderId="107" xfId="0" applyNumberFormat="1" applyFont="1" applyFill="1" applyBorder="1" applyAlignment="1" applyProtection="1">
      <alignment horizontal="left" vertical="center"/>
    </xf>
    <xf numFmtId="0" fontId="14" fillId="0" borderId="108" xfId="0" applyFont="1" applyBorder="1" applyAlignment="1" applyProtection="1">
      <alignment horizontal="left" vertical="center"/>
    </xf>
    <xf numFmtId="0" fontId="16" fillId="0" borderId="109" xfId="0" applyFont="1" applyBorder="1" applyAlignment="1" applyProtection="1">
      <alignment horizontal="right" vertical="center"/>
    </xf>
    <xf numFmtId="0" fontId="14" fillId="0" borderId="83" xfId="0" applyFont="1" applyBorder="1" applyAlignment="1" applyProtection="1">
      <alignment vertical="center"/>
    </xf>
    <xf numFmtId="180" fontId="17" fillId="2" borderId="78" xfId="0" applyNumberFormat="1" applyFont="1" applyFill="1" applyBorder="1" applyAlignment="1" applyProtection="1">
      <alignment horizontal="left" vertical="center"/>
    </xf>
    <xf numFmtId="0" fontId="14" fillId="0" borderId="42" xfId="0" applyFont="1" applyBorder="1" applyAlignment="1" applyProtection="1">
      <alignment horizontal="left" vertical="center"/>
    </xf>
    <xf numFmtId="49" fontId="17" fillId="2" borderId="12" xfId="0" applyNumberFormat="1" applyFont="1" applyFill="1" applyBorder="1" applyAlignment="1" applyProtection="1">
      <alignment vertical="center"/>
    </xf>
    <xf numFmtId="182" fontId="17" fillId="2" borderId="78" xfId="0" applyNumberFormat="1" applyFont="1" applyFill="1" applyBorder="1" applyAlignment="1" applyProtection="1">
      <alignment horizontal="left" vertical="center"/>
    </xf>
    <xf numFmtId="49" fontId="17" fillId="2" borderId="12" xfId="0" applyNumberFormat="1" applyFont="1" applyFill="1" applyBorder="1" applyAlignment="1" applyProtection="1">
      <alignment horizontal="left" vertical="center"/>
    </xf>
    <xf numFmtId="0" fontId="17" fillId="2" borderId="79" xfId="0" applyFont="1" applyFill="1" applyBorder="1" applyAlignment="1" applyProtection="1">
      <alignment horizontal="left" vertical="center"/>
    </xf>
    <xf numFmtId="0" fontId="17" fillId="2" borderId="26" xfId="0" applyFont="1" applyFill="1" applyBorder="1" applyAlignment="1" applyProtection="1">
      <alignment horizontal="left" vertical="center"/>
    </xf>
    <xf numFmtId="49" fontId="17" fillId="2" borderId="35" xfId="0" applyNumberFormat="1" applyFont="1" applyFill="1" applyBorder="1" applyAlignment="1" applyProtection="1">
      <alignment vertical="center"/>
    </xf>
    <xf numFmtId="0" fontId="16" fillId="0" borderId="78" xfId="0" applyFont="1" applyBorder="1" applyAlignment="1" applyProtection="1">
      <alignment horizontal="right" vertical="center"/>
    </xf>
    <xf numFmtId="49" fontId="17" fillId="2" borderId="78" xfId="0" applyNumberFormat="1" applyFont="1" applyFill="1" applyBorder="1" applyAlignment="1" applyProtection="1">
      <alignment vertical="center"/>
    </xf>
    <xf numFmtId="49" fontId="17" fillId="2" borderId="26" xfId="0" applyNumberFormat="1" applyFont="1" applyFill="1" applyBorder="1" applyAlignment="1" applyProtection="1">
      <alignment vertical="center"/>
    </xf>
    <xf numFmtId="0" fontId="7" fillId="0" borderId="0" xfId="0" applyFont="1" applyFill="1" applyBorder="1" applyAlignment="1" applyProtection="1">
      <alignment vertical="center"/>
    </xf>
    <xf numFmtId="49" fontId="17" fillId="2" borderId="6" xfId="0" applyNumberFormat="1" applyFont="1" applyFill="1" applyBorder="1" applyAlignment="1" applyProtection="1">
      <alignment horizontal="left" vertical="center"/>
    </xf>
    <xf numFmtId="183" fontId="17" fillId="2" borderId="12" xfId="0" applyNumberFormat="1" applyFont="1" applyFill="1" applyBorder="1" applyAlignment="1" applyProtection="1">
      <alignment horizontal="left" vertical="center"/>
    </xf>
    <xf numFmtId="0" fontId="14" fillId="0" borderId="92" xfId="0" applyFont="1" applyBorder="1" applyAlignment="1" applyProtection="1">
      <alignment vertical="center"/>
    </xf>
    <xf numFmtId="1" fontId="66" fillId="3" borderId="12" xfId="0" applyNumberFormat="1" applyFont="1" applyFill="1" applyBorder="1" applyAlignment="1" applyProtection="1">
      <alignment horizontal="center" vertical="center"/>
    </xf>
    <xf numFmtId="0" fontId="14" fillId="0" borderId="93" xfId="0" applyFont="1" applyBorder="1" applyAlignment="1" applyProtection="1">
      <alignment horizontal="right" vertical="center"/>
    </xf>
    <xf numFmtId="0" fontId="14" fillId="0" borderId="94" xfId="0" applyFont="1" applyBorder="1" applyAlignment="1" applyProtection="1">
      <alignment horizontal="right" vertical="center"/>
    </xf>
    <xf numFmtId="184" fontId="17" fillId="2" borderId="36" xfId="0" applyNumberFormat="1" applyFont="1" applyFill="1" applyBorder="1" applyAlignment="1" applyProtection="1">
      <alignment horizontal="left" vertical="center"/>
    </xf>
    <xf numFmtId="0" fontId="14" fillId="0" borderId="83" xfId="0" applyFont="1" applyBorder="1" applyAlignment="1" applyProtection="1">
      <alignment horizontal="right" vertical="center"/>
    </xf>
    <xf numFmtId="182" fontId="17" fillId="2" borderId="38" xfId="0" applyNumberFormat="1" applyFont="1" applyFill="1" applyBorder="1" applyAlignment="1" applyProtection="1">
      <alignment horizontal="left" vertical="center"/>
    </xf>
    <xf numFmtId="0" fontId="17" fillId="2" borderId="38" xfId="0" applyNumberFormat="1" applyFont="1" applyFill="1" applyBorder="1" applyAlignment="1" applyProtection="1">
      <alignment horizontal="left" vertical="center"/>
    </xf>
    <xf numFmtId="0" fontId="14" fillId="0" borderId="7" xfId="0" applyFont="1" applyBorder="1" applyAlignment="1" applyProtection="1">
      <alignment horizontal="right" vertical="center"/>
    </xf>
    <xf numFmtId="0" fontId="16" fillId="0" borderId="26" xfId="0" applyFont="1" applyBorder="1" applyAlignment="1" applyProtection="1">
      <alignment horizontal="left" vertical="center"/>
    </xf>
    <xf numFmtId="0" fontId="29" fillId="0" borderId="0" xfId="0" applyFont="1" applyFill="1" applyBorder="1" applyAlignment="1" applyProtection="1">
      <alignment horizontal="left" vertical="center"/>
    </xf>
    <xf numFmtId="0" fontId="25" fillId="0" borderId="33" xfId="0" applyFont="1" applyBorder="1" applyAlignment="1" applyProtection="1">
      <alignment horizontal="left" vertical="center"/>
    </xf>
    <xf numFmtId="0" fontId="31" fillId="0" borderId="44" xfId="0" applyFont="1" applyFill="1" applyBorder="1" applyAlignment="1" applyProtection="1">
      <alignment horizontal="center" vertical="center"/>
    </xf>
    <xf numFmtId="1" fontId="43" fillId="0" borderId="43" xfId="0" applyNumberFormat="1" applyFont="1" applyFill="1" applyBorder="1" applyAlignment="1" applyProtection="1">
      <alignment horizontal="center" vertical="center"/>
    </xf>
    <xf numFmtId="49" fontId="17" fillId="2" borderId="12" xfId="0" applyNumberFormat="1" applyFont="1" applyFill="1" applyBorder="1" applyAlignment="1" applyProtection="1">
      <alignment vertical="center"/>
      <protection locked="0"/>
    </xf>
    <xf numFmtId="49" fontId="17" fillId="9" borderId="111" xfId="0" applyNumberFormat="1" applyFont="1" applyFill="1" applyBorder="1" applyAlignment="1" applyProtection="1">
      <alignment horizontal="left" vertical="center"/>
      <protection locked="0"/>
    </xf>
    <xf numFmtId="0" fontId="16" fillId="0" borderId="13" xfId="0" applyFont="1" applyBorder="1" applyAlignment="1">
      <alignment horizontal="right" vertical="center"/>
    </xf>
    <xf numFmtId="180" fontId="17" fillId="2" borderId="12" xfId="0" applyNumberFormat="1" applyFont="1" applyFill="1" applyBorder="1" applyAlignment="1" applyProtection="1">
      <alignment horizontal="left" vertical="center"/>
      <protection locked="0"/>
    </xf>
    <xf numFmtId="0" fontId="14" fillId="0" borderId="42" xfId="0" applyFont="1" applyBorder="1" applyAlignment="1">
      <alignment vertical="center"/>
    </xf>
    <xf numFmtId="49" fontId="14" fillId="0" borderId="5" xfId="0" applyNumberFormat="1" applyFont="1" applyBorder="1" applyAlignment="1" applyProtection="1">
      <alignment vertical="center"/>
    </xf>
    <xf numFmtId="182" fontId="17" fillId="2" borderId="12" xfId="0" applyNumberFormat="1" applyFont="1" applyFill="1" applyBorder="1" applyAlignment="1" applyProtection="1">
      <alignment horizontal="left" vertical="center"/>
      <protection locked="0"/>
    </xf>
    <xf numFmtId="49" fontId="17" fillId="2" borderId="28" xfId="0" applyNumberFormat="1" applyFont="1" applyFill="1" applyBorder="1" applyAlignment="1" applyProtection="1">
      <alignment horizontal="left" vertical="center"/>
      <protection locked="0"/>
    </xf>
    <xf numFmtId="49" fontId="16"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horizontal="right" vertical="center"/>
    </xf>
    <xf numFmtId="49" fontId="17" fillId="2" borderId="79"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6" fillId="0" borderId="78" xfId="0" applyNumberFormat="1" applyFont="1" applyBorder="1" applyAlignment="1" applyProtection="1">
      <alignment horizontal="right" vertical="center"/>
    </xf>
    <xf numFmtId="49" fontId="16" fillId="0" borderId="78" xfId="0" applyNumberFormat="1" applyFont="1" applyBorder="1" applyAlignment="1">
      <alignment horizontal="right" vertical="center"/>
    </xf>
    <xf numFmtId="49" fontId="17" fillId="0" borderId="0"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protection locked="0"/>
    </xf>
    <xf numFmtId="183" fontId="17" fillId="2" borderId="6" xfId="0" applyNumberFormat="1" applyFont="1" applyFill="1" applyBorder="1" applyAlignment="1" applyProtection="1">
      <alignment horizontal="left" vertical="center"/>
      <protection locked="0"/>
    </xf>
    <xf numFmtId="177" fontId="79" fillId="2" borderId="2" xfId="14" applyNumberFormat="1" applyFont="1" applyFill="1" applyBorder="1" applyAlignment="1" applyProtection="1">
      <alignment vertical="center"/>
      <protection locked="0"/>
    </xf>
    <xf numFmtId="177" fontId="79" fillId="2" borderId="0" xfId="14" applyNumberFormat="1" applyFont="1" applyFill="1" applyBorder="1" applyAlignment="1" applyProtection="1">
      <alignment vertical="center"/>
      <protection locked="0"/>
    </xf>
    <xf numFmtId="0" fontId="69" fillId="2" borderId="0" xfId="14" applyFont="1" applyFill="1" applyBorder="1" applyAlignment="1" applyProtection="1">
      <alignment vertical="center"/>
      <protection locked="0"/>
    </xf>
    <xf numFmtId="0" fontId="80" fillId="2" borderId="0" xfId="14" applyFont="1" applyFill="1" applyBorder="1" applyAlignment="1" applyProtection="1">
      <alignment vertical="center"/>
      <protection locked="0"/>
    </xf>
    <xf numFmtId="177" fontId="69" fillId="2" borderId="0" xfId="14" applyNumberFormat="1" applyFont="1" applyFill="1" applyBorder="1" applyAlignment="1" applyProtection="1">
      <alignment vertical="center"/>
      <protection locked="0"/>
    </xf>
    <xf numFmtId="0" fontId="31" fillId="2" borderId="0" xfId="0" applyFont="1" applyFill="1" applyBorder="1" applyAlignment="1" applyProtection="1">
      <alignment horizontal="right" vertical="center"/>
      <protection locked="0"/>
    </xf>
    <xf numFmtId="0" fontId="15"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3" fontId="30" fillId="2" borderId="5" xfId="0" applyNumberFormat="1" applyFont="1" applyFill="1" applyBorder="1" applyAlignment="1" applyProtection="1">
      <alignment vertical="center"/>
      <protection locked="0"/>
    </xf>
    <xf numFmtId="177" fontId="6" fillId="2" borderId="2" xfId="14" applyNumberFormat="1" applyFont="1" applyFill="1" applyBorder="1" applyAlignment="1" applyProtection="1">
      <alignment horizontal="right" vertical="center"/>
      <protection locked="0"/>
    </xf>
    <xf numFmtId="177" fontId="79" fillId="2" borderId="0" xfId="14" applyNumberFormat="1" applyFont="1" applyFill="1" applyBorder="1" applyAlignment="1" applyProtection="1">
      <alignment horizontal="left" vertical="center"/>
      <protection locked="0"/>
    </xf>
    <xf numFmtId="177" fontId="79" fillId="2" borderId="2" xfId="14" applyNumberFormat="1" applyFont="1" applyFill="1" applyBorder="1" applyAlignment="1" applyProtection="1">
      <alignment horizontal="left" vertical="center"/>
      <protection locked="0"/>
    </xf>
    <xf numFmtId="0" fontId="65" fillId="2" borderId="2" xfId="14" applyFont="1" applyFill="1" applyBorder="1" applyAlignment="1" applyProtection="1">
      <alignment vertical="center"/>
      <protection locked="0"/>
    </xf>
    <xf numFmtId="177" fontId="81" fillId="2" borderId="0" xfId="14" applyNumberFormat="1" applyFont="1" applyFill="1" applyBorder="1" applyAlignment="1" applyProtection="1">
      <alignment horizontal="right" vertical="center"/>
      <protection locked="0"/>
    </xf>
    <xf numFmtId="9" fontId="69" fillId="2" borderId="10" xfId="14" applyNumberFormat="1" applyFont="1" applyFill="1" applyBorder="1" applyAlignment="1" applyProtection="1">
      <alignment vertical="center"/>
      <protection locked="0"/>
    </xf>
    <xf numFmtId="0" fontId="69" fillId="2" borderId="10" xfId="14"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39" fontId="69" fillId="2" borderId="0" xfId="14" applyNumberFormat="1" applyFont="1" applyFill="1" applyBorder="1" applyAlignment="1" applyProtection="1">
      <alignment vertical="center"/>
      <protection locked="0"/>
    </xf>
    <xf numFmtId="39" fontId="69" fillId="2" borderId="10" xfId="14" applyNumberFormat="1" applyFont="1" applyFill="1" applyBorder="1" applyAlignment="1" applyProtection="1">
      <alignment vertical="center"/>
      <protection locked="0"/>
    </xf>
    <xf numFmtId="177" fontId="79" fillId="2" borderId="8" xfId="14" applyNumberFormat="1" applyFont="1" applyFill="1" applyBorder="1" applyAlignment="1" applyProtection="1">
      <alignment vertical="center"/>
      <protection locked="0"/>
    </xf>
    <xf numFmtId="177" fontId="6" fillId="2" borderId="4" xfId="14" applyNumberFormat="1" applyFont="1" applyFill="1" applyBorder="1" applyAlignment="1" applyProtection="1">
      <alignment vertical="center"/>
      <protection locked="0"/>
    </xf>
    <xf numFmtId="0" fontId="5" fillId="2" borderId="4" xfId="14" applyFont="1" applyFill="1" applyBorder="1" applyAlignment="1" applyProtection="1">
      <alignment vertical="center"/>
      <protection locked="0"/>
    </xf>
    <xf numFmtId="177" fontId="5" fillId="2" borderId="4" xfId="14" applyNumberFormat="1" applyFont="1" applyFill="1" applyBorder="1" applyAlignment="1" applyProtection="1">
      <alignment vertical="center"/>
      <protection locked="0"/>
    </xf>
    <xf numFmtId="0" fontId="31" fillId="2" borderId="4" xfId="0" applyFont="1" applyFill="1" applyBorder="1" applyAlignment="1" applyProtection="1">
      <alignment horizontal="right" vertical="center"/>
      <protection locked="0"/>
    </xf>
    <xf numFmtId="177" fontId="81" fillId="2" borderId="2" xfId="14" applyNumberFormat="1" applyFont="1" applyFill="1" applyBorder="1" applyAlignment="1" applyProtection="1">
      <alignment vertical="center"/>
      <protection locked="0"/>
    </xf>
    <xf numFmtId="0" fontId="68" fillId="2" borderId="0" xfId="0" applyFont="1" applyFill="1" applyBorder="1" applyAlignment="1" applyProtection="1">
      <alignment vertical="center"/>
      <protection locked="0"/>
    </xf>
    <xf numFmtId="0" fontId="69" fillId="2" borderId="5" xfId="14" applyFont="1" applyFill="1" applyBorder="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center"/>
      <protection locked="0"/>
    </xf>
    <xf numFmtId="0" fontId="14" fillId="2" borderId="10" xfId="0" applyFont="1" applyFill="1" applyBorder="1" applyAlignment="1" applyProtection="1">
      <alignment vertical="center"/>
      <protection locked="0"/>
    </xf>
    <xf numFmtId="0" fontId="30" fillId="2" borderId="10" xfId="0" applyFont="1" applyFill="1" applyBorder="1" applyAlignment="1" applyProtection="1">
      <alignment horizontal="right" vertical="center"/>
      <protection locked="0"/>
    </xf>
    <xf numFmtId="39" fontId="69" fillId="2" borderId="5" xfId="14" applyNumberFormat="1" applyFont="1" applyFill="1" applyBorder="1" applyAlignment="1" applyProtection="1">
      <alignment vertical="center"/>
      <protection locked="0"/>
    </xf>
    <xf numFmtId="177" fontId="81" fillId="2" borderId="2" xfId="14" applyNumberFormat="1" applyFont="1" applyFill="1" applyBorder="1" applyAlignment="1" applyProtection="1">
      <alignment horizontal="left" vertical="center"/>
      <protection locked="0"/>
    </xf>
    <xf numFmtId="177" fontId="81" fillId="2" borderId="0" xfId="14" applyNumberFormat="1" applyFont="1" applyFill="1" applyBorder="1" applyAlignment="1" applyProtection="1">
      <alignment horizontal="left" vertical="center"/>
      <protection locked="0"/>
    </xf>
    <xf numFmtId="9" fontId="69" fillId="2" borderId="0" xfId="14" applyNumberFormat="1" applyFont="1" applyFill="1" applyBorder="1" applyAlignment="1" applyProtection="1">
      <alignment vertical="center"/>
      <protection locked="0"/>
    </xf>
    <xf numFmtId="0" fontId="68" fillId="2" borderId="0" xfId="0" applyFont="1" applyFill="1" applyBorder="1" applyAlignment="1" applyProtection="1">
      <alignment horizontal="right" vertical="center"/>
      <protection locked="0"/>
    </xf>
    <xf numFmtId="49" fontId="74" fillId="10" borderId="74" xfId="0" applyNumberFormat="1" applyFont="1" applyFill="1" applyBorder="1" applyAlignment="1" applyProtection="1">
      <alignment horizontal="center" vertical="center"/>
    </xf>
    <xf numFmtId="181" fontId="20" fillId="10" borderId="68" xfId="0" applyNumberFormat="1" applyFont="1" applyFill="1" applyBorder="1" applyAlignment="1" applyProtection="1">
      <alignment vertical="center"/>
    </xf>
    <xf numFmtId="0" fontId="14" fillId="10" borderId="68" xfId="0" applyFont="1" applyFill="1" applyBorder="1" applyAlignment="1" applyProtection="1">
      <alignment vertical="center"/>
    </xf>
    <xf numFmtId="0" fontId="4" fillId="10" borderId="68" xfId="0" applyFont="1" applyFill="1" applyBorder="1" applyAlignment="1" applyProtection="1">
      <alignment vertical="center"/>
    </xf>
    <xf numFmtId="181" fontId="5" fillId="10" borderId="68" xfId="0" applyNumberFormat="1" applyFont="1" applyFill="1" applyBorder="1" applyAlignment="1" applyProtection="1">
      <alignment vertical="center"/>
    </xf>
    <xf numFmtId="181" fontId="4" fillId="10" borderId="69" xfId="0" applyNumberFormat="1" applyFont="1" applyFill="1" applyBorder="1" applyAlignment="1" applyProtection="1">
      <alignment vertical="center"/>
    </xf>
    <xf numFmtId="0" fontId="29" fillId="2" borderId="28" xfId="0" applyFont="1" applyFill="1" applyBorder="1" applyAlignment="1" applyProtection="1">
      <alignment horizontal="center" vertical="center"/>
    </xf>
    <xf numFmtId="0" fontId="29" fillId="2" borderId="12" xfId="0" applyFont="1" applyFill="1" applyBorder="1" applyAlignment="1" applyProtection="1">
      <alignment horizontal="center" vertical="center"/>
    </xf>
    <xf numFmtId="0" fontId="29" fillId="2" borderId="44" xfId="0" applyFont="1" applyFill="1" applyBorder="1" applyAlignment="1" applyProtection="1">
      <alignment horizontal="center" vertical="center"/>
    </xf>
    <xf numFmtId="0" fontId="32" fillId="0" borderId="4" xfId="0" applyFont="1" applyFill="1" applyBorder="1" applyAlignment="1" applyProtection="1">
      <alignment horizontal="right" vertical="center"/>
    </xf>
    <xf numFmtId="0" fontId="7" fillId="0" borderId="62" xfId="0" applyFont="1" applyBorder="1" applyAlignment="1" applyProtection="1">
      <alignment horizontal="center" wrapText="1"/>
    </xf>
    <xf numFmtId="0" fontId="7" fillId="0" borderId="65" xfId="0" applyFont="1" applyBorder="1" applyAlignment="1" applyProtection="1">
      <alignment horizontal="center" wrapText="1"/>
    </xf>
    <xf numFmtId="0" fontId="0" fillId="0" borderId="0" xfId="0" applyBorder="1"/>
    <xf numFmtId="0" fontId="0" fillId="0" borderId="5" xfId="0" applyBorder="1"/>
    <xf numFmtId="177" fontId="6" fillId="2" borderId="2" xfId="14" applyNumberFormat="1" applyFont="1" applyFill="1" applyBorder="1" applyAlignment="1" applyProtection="1">
      <alignment horizontal="left" vertical="center"/>
      <protection locked="0"/>
    </xf>
    <xf numFmtId="0" fontId="6" fillId="2" borderId="0" xfId="14"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177" fontId="81" fillId="2" borderId="9" xfId="14" applyNumberFormat="1" applyFont="1" applyFill="1" applyBorder="1" applyAlignment="1" applyProtection="1">
      <alignment horizontal="left" vertical="center"/>
      <protection locked="0"/>
    </xf>
    <xf numFmtId="0" fontId="79" fillId="2" borderId="10" xfId="14" applyFont="1" applyFill="1" applyBorder="1" applyAlignment="1" applyProtection="1">
      <alignment horizontal="right" vertical="center"/>
      <protection locked="0"/>
    </xf>
    <xf numFmtId="0" fontId="68" fillId="2" borderId="10" xfId="0" applyFont="1" applyFill="1" applyBorder="1" applyAlignment="1" applyProtection="1">
      <alignment vertical="center"/>
      <protection locked="0"/>
    </xf>
    <xf numFmtId="0" fontId="68" fillId="2" borderId="10" xfId="0" applyFont="1" applyFill="1" applyBorder="1" applyAlignment="1" applyProtection="1">
      <alignment horizontal="right" vertical="center"/>
      <protection locked="0"/>
    </xf>
    <xf numFmtId="39" fontId="69" fillId="2" borderId="73" xfId="14" applyNumberFormat="1" applyFont="1" applyFill="1" applyBorder="1" applyAlignment="1" applyProtection="1">
      <alignment vertical="center"/>
      <protection locked="0"/>
    </xf>
    <xf numFmtId="177" fontId="81" fillId="2" borderId="2" xfId="14" applyNumberFormat="1" applyFont="1" applyFill="1" applyBorder="1" applyAlignment="1" applyProtection="1">
      <alignment horizontal="center" vertical="center"/>
      <protection locked="0"/>
    </xf>
    <xf numFmtId="0" fontId="6" fillId="2" borderId="8" xfId="14" applyFont="1" applyFill="1" applyBorder="1" applyAlignment="1" applyProtection="1">
      <alignment horizontal="center" vertical="center"/>
      <protection locked="0"/>
    </xf>
    <xf numFmtId="177" fontId="79" fillId="2" borderId="13" xfId="14" applyNumberFormat="1" applyFont="1" applyFill="1" applyBorder="1" applyAlignment="1" applyProtection="1">
      <alignment vertical="center"/>
      <protection locked="0"/>
    </xf>
    <xf numFmtId="0" fontId="69" fillId="2" borderId="13" xfId="14" applyFont="1" applyFill="1" applyBorder="1" applyAlignment="1" applyProtection="1">
      <alignment vertical="center"/>
      <protection locked="0"/>
    </xf>
    <xf numFmtId="0" fontId="80" fillId="2" borderId="13" xfId="14" applyFont="1" applyFill="1" applyBorder="1" applyAlignment="1" applyProtection="1">
      <alignment vertical="center"/>
      <protection locked="0"/>
    </xf>
    <xf numFmtId="177" fontId="69" fillId="2" borderId="13" xfId="14" applyNumberFormat="1" applyFont="1" applyFill="1" applyBorder="1" applyAlignment="1" applyProtection="1">
      <alignment vertical="center"/>
      <protection locked="0"/>
    </xf>
    <xf numFmtId="0" fontId="31" fillId="2" borderId="13" xfId="0" applyFont="1" applyFill="1" applyBorder="1" applyAlignment="1" applyProtection="1">
      <alignment horizontal="right" vertical="center"/>
      <protection locked="0"/>
    </xf>
    <xf numFmtId="0" fontId="15" fillId="2"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173" fontId="30" fillId="2" borderId="20" xfId="0" applyNumberFormat="1" applyFont="1" applyFill="1" applyBorder="1" applyAlignment="1" applyProtection="1">
      <alignment vertical="center"/>
      <protection locked="0"/>
    </xf>
    <xf numFmtId="0" fontId="15" fillId="2" borderId="5" xfId="0" applyFont="1" applyFill="1" applyBorder="1" applyAlignment="1" applyProtection="1">
      <alignment vertical="center"/>
      <protection locked="0"/>
    </xf>
    <xf numFmtId="0" fontId="15" fillId="2" borderId="73" xfId="0" applyFont="1" applyFill="1" applyBorder="1" applyAlignment="1" applyProtection="1">
      <alignment vertical="center"/>
      <protection locked="0"/>
    </xf>
    <xf numFmtId="0" fontId="15" fillId="2" borderId="22" xfId="0" applyFont="1" applyFill="1" applyBorder="1" applyAlignment="1" applyProtection="1">
      <alignment vertical="center"/>
      <protection locked="0"/>
    </xf>
    <xf numFmtId="166" fontId="5" fillId="0" borderId="12" xfId="0" applyNumberFormat="1" applyFont="1" applyFill="1" applyBorder="1" applyAlignment="1" applyProtection="1">
      <alignment horizontal="righ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166" fontId="5" fillId="0" borderId="37" xfId="0" applyNumberFormat="1" applyFont="1" applyFill="1" applyBorder="1" applyAlignment="1" applyProtection="1">
      <alignment horizontal="right" vertical="center"/>
    </xf>
    <xf numFmtId="166" fontId="20" fillId="2" borderId="102" xfId="0" applyNumberFormat="1" applyFont="1" applyFill="1" applyBorder="1" applyAlignment="1" applyProtection="1">
      <alignment vertical="center"/>
      <protection locked="0"/>
    </xf>
    <xf numFmtId="166" fontId="20" fillId="2" borderId="1" xfId="0" applyNumberFormat="1" applyFont="1" applyFill="1" applyBorder="1" applyAlignment="1" applyProtection="1">
      <alignment vertical="center"/>
      <protection locked="0"/>
    </xf>
    <xf numFmtId="0" fontId="17" fillId="0" borderId="4" xfId="0" applyFont="1" applyFill="1" applyBorder="1" applyAlignment="1" applyProtection="1">
      <alignment horizontal="right" vertical="center"/>
    </xf>
    <xf numFmtId="165" fontId="20" fillId="2" borderId="46" xfId="0" applyNumberFormat="1" applyFont="1" applyFill="1" applyBorder="1" applyAlignment="1" applyProtection="1">
      <alignment vertical="center"/>
      <protection locked="0"/>
    </xf>
    <xf numFmtId="165" fontId="4" fillId="0" borderId="47" xfId="0" applyNumberFormat="1" applyFont="1" applyBorder="1" applyAlignment="1" applyProtection="1">
      <alignment vertical="center"/>
    </xf>
    <xf numFmtId="165" fontId="7" fillId="0" borderId="62" xfId="0" applyNumberFormat="1" applyFont="1" applyBorder="1" applyAlignment="1" applyProtection="1">
      <alignment vertical="center"/>
    </xf>
    <xf numFmtId="165" fontId="7" fillId="0" borderId="65" xfId="0" applyNumberFormat="1" applyFont="1" applyBorder="1" applyAlignment="1" applyProtection="1">
      <alignment vertical="center"/>
    </xf>
    <xf numFmtId="165" fontId="20" fillId="2" borderId="117" xfId="0" applyNumberFormat="1" applyFont="1" applyFill="1" applyBorder="1" applyAlignment="1" applyProtection="1">
      <alignment vertical="center"/>
      <protection locked="0"/>
    </xf>
    <xf numFmtId="165" fontId="4" fillId="0" borderId="118" xfId="0" applyNumberFormat="1" applyFont="1" applyBorder="1" applyAlignment="1" applyProtection="1">
      <alignment vertical="center"/>
    </xf>
    <xf numFmtId="165" fontId="20" fillId="0" borderId="76" xfId="0" applyNumberFormat="1" applyFont="1" applyFill="1" applyBorder="1" applyAlignment="1" applyProtection="1">
      <alignment vertical="center"/>
    </xf>
    <xf numFmtId="165" fontId="4" fillId="0" borderId="76" xfId="0" applyNumberFormat="1" applyFont="1" applyFill="1" applyBorder="1" applyAlignment="1" applyProtection="1">
      <alignment vertical="center"/>
    </xf>
    <xf numFmtId="165" fontId="4" fillId="0" borderId="98" xfId="0" applyNumberFormat="1" applyFont="1" applyFill="1" applyBorder="1" applyAlignment="1" applyProtection="1">
      <alignment vertical="center"/>
    </xf>
    <xf numFmtId="0" fontId="17" fillId="0" borderId="78"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79" xfId="0" applyFont="1" applyBorder="1" applyAlignment="1">
      <alignment horizontal="center" vertical="center" wrapText="1"/>
    </xf>
    <xf numFmtId="165" fontId="17" fillId="0" borderId="79" xfId="0" applyNumberFormat="1" applyFont="1" applyBorder="1" applyAlignment="1">
      <alignment horizontal="center" vertical="center" wrapText="1"/>
    </xf>
    <xf numFmtId="166" fontId="22" fillId="2" borderId="28" xfId="0" applyNumberFormat="1" applyFont="1" applyFill="1" applyBorder="1" applyAlignment="1" applyProtection="1">
      <alignment vertical="center"/>
      <protection locked="0"/>
    </xf>
    <xf numFmtId="166" fontId="22" fillId="2" borderId="31" xfId="0" applyNumberFormat="1" applyFont="1" applyFill="1" applyBorder="1" applyAlignment="1" applyProtection="1">
      <alignment vertical="center"/>
      <protection locked="0"/>
    </xf>
    <xf numFmtId="166" fontId="17" fillId="0" borderId="29" xfId="0" applyNumberFormat="1" applyFont="1" applyBorder="1" applyAlignment="1">
      <alignment horizontal="right" vertical="center"/>
    </xf>
    <xf numFmtId="166" fontId="16" fillId="0" borderId="37" xfId="0" applyNumberFormat="1" applyFont="1" applyBorder="1" applyAlignment="1">
      <alignment vertical="center"/>
    </xf>
    <xf numFmtId="166" fontId="22" fillId="2" borderId="6" xfId="0" applyNumberFormat="1" applyFont="1" applyFill="1" applyBorder="1" applyAlignment="1" applyProtection="1">
      <alignment vertical="center"/>
      <protection locked="0"/>
    </xf>
    <xf numFmtId="166" fontId="20" fillId="2" borderId="28" xfId="0" applyNumberFormat="1" applyFont="1" applyFill="1" applyBorder="1" applyAlignment="1" applyProtection="1">
      <alignment vertical="center"/>
      <protection locked="0"/>
    </xf>
    <xf numFmtId="166" fontId="20" fillId="2" borderId="31" xfId="0" applyNumberFormat="1" applyFont="1" applyFill="1" applyBorder="1" applyAlignment="1" applyProtection="1">
      <alignment vertical="center"/>
      <protection locked="0"/>
    </xf>
    <xf numFmtId="166" fontId="20" fillId="2" borderId="6" xfId="0" applyNumberFormat="1" applyFont="1" applyFill="1" applyBorder="1" applyAlignment="1" applyProtection="1">
      <alignment vertical="center"/>
      <protection locked="0"/>
    </xf>
    <xf numFmtId="165" fontId="17" fillId="0" borderId="26" xfId="0" applyNumberFormat="1" applyFont="1" applyBorder="1" applyAlignment="1">
      <alignment horizontal="center" vertical="center" wrapText="1"/>
    </xf>
    <xf numFmtId="165" fontId="14" fillId="0" borderId="24" xfId="0" applyNumberFormat="1" applyFont="1" applyBorder="1" applyAlignment="1">
      <alignment vertical="center"/>
    </xf>
    <xf numFmtId="165" fontId="14" fillId="0" borderId="39" xfId="0" applyNumberFormat="1" applyFont="1" applyBorder="1" applyAlignment="1">
      <alignment horizontal="left" vertical="center"/>
    </xf>
    <xf numFmtId="166" fontId="14" fillId="0" borderId="16" xfId="0" applyNumberFormat="1" applyFont="1" applyBorder="1" applyAlignment="1">
      <alignment vertical="center"/>
    </xf>
    <xf numFmtId="0" fontId="17"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37" xfId="0" applyFont="1" applyBorder="1" applyAlignment="1">
      <alignment horizontal="center" vertical="center" wrapText="1"/>
    </xf>
    <xf numFmtId="9" fontId="20" fillId="2" borderId="28" xfId="16" applyFont="1" applyFill="1" applyBorder="1" applyAlignment="1" applyProtection="1">
      <alignment vertical="center"/>
      <protection locked="0"/>
    </xf>
    <xf numFmtId="9" fontId="20" fillId="2" borderId="31" xfId="16" applyFont="1" applyFill="1" applyBorder="1" applyAlignment="1" applyProtection="1">
      <alignment vertical="center"/>
      <protection locked="0"/>
    </xf>
    <xf numFmtId="0" fontId="17" fillId="8" borderId="121" xfId="0" applyFont="1" applyFill="1" applyBorder="1" applyAlignment="1" applyProtection="1">
      <alignment horizontal="center" vertical="top" wrapText="1"/>
    </xf>
    <xf numFmtId="0" fontId="29" fillId="2" borderId="122" xfId="0" applyFont="1" applyFill="1" applyBorder="1" applyAlignment="1" applyProtection="1">
      <alignment horizontal="center" vertical="center" wrapText="1"/>
      <protection locked="0"/>
    </xf>
    <xf numFmtId="0" fontId="82" fillId="8" borderId="122" xfId="0" applyFont="1" applyFill="1" applyBorder="1" applyAlignment="1" applyProtection="1">
      <alignment horizontal="center" vertical="top" wrapText="1"/>
    </xf>
    <xf numFmtId="176" fontId="38" fillId="0" borderId="122" xfId="0" applyNumberFormat="1"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14" fillId="0" borderId="123" xfId="0" applyFont="1" applyBorder="1" applyAlignment="1">
      <alignment vertical="center"/>
    </xf>
    <xf numFmtId="0" fontId="16" fillId="0" borderId="124" xfId="0" applyFont="1" applyFill="1" applyBorder="1" applyAlignment="1" applyProtection="1">
      <alignment vertical="center"/>
    </xf>
    <xf numFmtId="0" fontId="16" fillId="0" borderId="125" xfId="0" applyFont="1" applyFill="1" applyBorder="1" applyAlignment="1" applyProtection="1">
      <alignment horizontal="right" vertical="center"/>
    </xf>
    <xf numFmtId="0" fontId="14" fillId="0" borderId="126" xfId="0" applyFont="1" applyBorder="1" applyAlignment="1">
      <alignment vertical="center"/>
    </xf>
    <xf numFmtId="0" fontId="16" fillId="0" borderId="127" xfId="0" applyFont="1" applyFill="1" applyBorder="1" applyAlignment="1" applyProtection="1">
      <alignment vertical="center"/>
    </xf>
    <xf numFmtId="0" fontId="16" fillId="0" borderId="128" xfId="0" applyFont="1" applyFill="1" applyBorder="1" applyAlignment="1" applyProtection="1">
      <alignment horizontal="right" vertical="center"/>
    </xf>
    <xf numFmtId="0" fontId="14" fillId="0" borderId="129" xfId="0" applyFont="1" applyBorder="1" applyAlignment="1">
      <alignment vertical="center"/>
    </xf>
    <xf numFmtId="0" fontId="16" fillId="0" borderId="130" xfId="0" applyFont="1" applyFill="1" applyBorder="1" applyAlignment="1" applyProtection="1">
      <alignment vertical="center"/>
    </xf>
    <xf numFmtId="0" fontId="31" fillId="0" borderId="0" xfId="0" applyFont="1" applyFill="1"/>
    <xf numFmtId="0" fontId="90" fillId="0" borderId="0" xfId="0" applyFont="1" applyFill="1"/>
    <xf numFmtId="0" fontId="52" fillId="0" borderId="134" xfId="0" applyFont="1" applyFill="1" applyBorder="1" applyAlignment="1">
      <alignment vertical="center"/>
    </xf>
    <xf numFmtId="9" fontId="52" fillId="0" borderId="12" xfId="16" applyFont="1" applyFill="1" applyBorder="1" applyAlignment="1">
      <alignment horizontal="center" vertical="center" wrapText="1"/>
    </xf>
    <xf numFmtId="9" fontId="52" fillId="0" borderId="12" xfId="16" applyFont="1" applyFill="1" applyBorder="1" applyAlignment="1">
      <alignment vertical="center"/>
    </xf>
    <xf numFmtId="10" fontId="52" fillId="0" borderId="135" xfId="0" applyNumberFormat="1" applyFont="1" applyFill="1" applyBorder="1" applyAlignment="1">
      <alignment vertical="center"/>
    </xf>
    <xf numFmtId="9" fontId="52" fillId="0" borderId="0" xfId="16" applyFont="1" applyFill="1" applyBorder="1" applyAlignment="1">
      <alignment horizontal="center" vertical="center" wrapText="1"/>
    </xf>
    <xf numFmtId="0" fontId="29" fillId="0" borderId="138" xfId="0" applyFont="1" applyFill="1" applyBorder="1" applyAlignment="1" applyProtection="1">
      <alignment horizontal="right" vertical="center"/>
    </xf>
    <xf numFmtId="0" fontId="31" fillId="2" borderId="12"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xf>
    <xf numFmtId="1" fontId="91" fillId="2" borderId="12" xfId="0" applyNumberFormat="1" applyFont="1" applyFill="1" applyBorder="1" applyAlignment="1" applyProtection="1">
      <alignment horizontal="center" vertical="center"/>
      <protection locked="0"/>
    </xf>
    <xf numFmtId="0" fontId="31" fillId="0" borderId="12" xfId="0" applyFont="1" applyBorder="1" applyAlignment="1">
      <alignment horizontal="right" vertical="center"/>
    </xf>
    <xf numFmtId="165" fontId="31" fillId="2" borderId="26" xfId="0" applyNumberFormat="1" applyFont="1" applyFill="1" applyBorder="1" applyAlignment="1" applyProtection="1">
      <alignment vertical="center"/>
      <protection locked="0"/>
    </xf>
    <xf numFmtId="0" fontId="94" fillId="0" borderId="138" xfId="0" applyFont="1" applyFill="1" applyBorder="1" applyAlignment="1" applyProtection="1">
      <alignment horizontal="right" vertical="center"/>
    </xf>
    <xf numFmtId="9" fontId="31" fillId="2" borderId="12" xfId="0" applyNumberFormat="1" applyFont="1" applyFill="1" applyBorder="1" applyAlignment="1" applyProtection="1">
      <alignment horizontal="center" vertical="center"/>
      <protection locked="0"/>
    </xf>
    <xf numFmtId="172" fontId="4" fillId="0" borderId="0" xfId="16" applyNumberFormat="1" applyFont="1" applyFill="1" applyBorder="1" applyAlignment="1" applyProtection="1">
      <alignment vertical="center"/>
    </xf>
    <xf numFmtId="165" fontId="4" fillId="0" borderId="5" xfId="0" applyNumberFormat="1" applyFont="1" applyFill="1" applyBorder="1" applyAlignment="1" applyProtection="1">
      <alignment vertical="center"/>
    </xf>
    <xf numFmtId="165" fontId="5" fillId="0" borderId="5" xfId="0" applyNumberFormat="1" applyFont="1" applyFill="1" applyBorder="1" applyAlignment="1" applyProtection="1">
      <alignment vertical="center"/>
    </xf>
    <xf numFmtId="165" fontId="5" fillId="0" borderId="139" xfId="0" applyNumberFormat="1" applyFont="1" applyFill="1" applyBorder="1" applyAlignment="1" applyProtection="1">
      <alignment vertical="center"/>
    </xf>
    <xf numFmtId="165" fontId="4" fillId="0" borderId="73" xfId="0" applyNumberFormat="1" applyFont="1" applyBorder="1" applyAlignment="1" applyProtection="1">
      <alignment vertical="center"/>
    </xf>
    <xf numFmtId="165" fontId="6" fillId="0" borderId="22" xfId="0" applyNumberFormat="1" applyFont="1" applyFill="1" applyBorder="1" applyAlignment="1" applyProtection="1">
      <alignment vertical="center"/>
    </xf>
    <xf numFmtId="165" fontId="14" fillId="0" borderId="139" xfId="0" applyNumberFormat="1" applyFont="1" applyBorder="1" applyAlignment="1" applyProtection="1">
      <alignment vertical="center"/>
    </xf>
    <xf numFmtId="165" fontId="6" fillId="0" borderId="139" xfId="0" applyNumberFormat="1" applyFont="1" applyFill="1" applyBorder="1" applyAlignment="1" applyProtection="1">
      <alignment vertical="center"/>
    </xf>
    <xf numFmtId="165" fontId="6" fillId="0" borderId="97" xfId="0" applyNumberFormat="1" applyFont="1" applyFill="1" applyBorder="1" applyAlignment="1" applyProtection="1">
      <alignment vertical="center"/>
    </xf>
    <xf numFmtId="165" fontId="17" fillId="0" borderId="79" xfId="0" applyNumberFormat="1" applyFont="1" applyBorder="1" applyAlignment="1" applyProtection="1">
      <alignment vertical="center"/>
    </xf>
    <xf numFmtId="165" fontId="17" fillId="0" borderId="116" xfId="0" applyNumberFormat="1" applyFont="1" applyBorder="1" applyAlignment="1" applyProtection="1">
      <alignment vertical="center"/>
    </xf>
    <xf numFmtId="165" fontId="16" fillId="0" borderId="105" xfId="0" applyNumberFormat="1" applyFont="1" applyFill="1" applyBorder="1" applyAlignment="1" applyProtection="1">
      <alignment vertical="center"/>
    </xf>
    <xf numFmtId="165" fontId="17" fillId="0" borderId="97" xfId="0" applyNumberFormat="1" applyFont="1" applyFill="1" applyBorder="1" applyAlignment="1" applyProtection="1">
      <alignment vertical="center"/>
    </xf>
    <xf numFmtId="165" fontId="17" fillId="0" borderId="5" xfId="0" applyNumberFormat="1" applyFont="1" applyFill="1" applyBorder="1" applyAlignment="1" applyProtection="1">
      <alignment vertical="center"/>
    </xf>
    <xf numFmtId="165" fontId="14" fillId="0" borderId="5" xfId="0" applyNumberFormat="1" applyFont="1" applyBorder="1" applyAlignment="1" applyProtection="1">
      <alignment vertical="center"/>
    </xf>
    <xf numFmtId="165" fontId="16" fillId="0" borderId="5" xfId="0" applyNumberFormat="1" applyFont="1" applyBorder="1" applyAlignment="1" applyProtection="1">
      <alignment vertical="center"/>
    </xf>
    <xf numFmtId="165" fontId="16" fillId="0" borderId="73" xfId="0" applyNumberFormat="1" applyFont="1" applyBorder="1" applyAlignment="1" applyProtection="1">
      <alignment vertical="center"/>
    </xf>
    <xf numFmtId="165" fontId="16" fillId="0" borderId="140" xfId="0" applyNumberFormat="1" applyFont="1" applyBorder="1" applyAlignment="1" applyProtection="1">
      <alignment vertical="center"/>
    </xf>
    <xf numFmtId="165" fontId="16" fillId="0" borderId="139" xfId="0" applyNumberFormat="1" applyFont="1" applyBorder="1" applyAlignment="1" applyProtection="1">
      <alignment vertical="center"/>
    </xf>
    <xf numFmtId="165" fontId="32" fillId="0" borderId="22" xfId="0" applyNumberFormat="1" applyFont="1" applyFill="1" applyBorder="1" applyAlignment="1" applyProtection="1">
      <alignment vertical="center"/>
    </xf>
    <xf numFmtId="165" fontId="17" fillId="0" borderId="140" xfId="0" applyNumberFormat="1" applyFont="1" applyBorder="1" applyAlignment="1" applyProtection="1">
      <alignment vertical="center"/>
    </xf>
    <xf numFmtId="165" fontId="17" fillId="0" borderId="97" xfId="0" applyNumberFormat="1" applyFont="1" applyBorder="1" applyAlignment="1" applyProtection="1">
      <alignment vertical="center"/>
    </xf>
    <xf numFmtId="165" fontId="17" fillId="0" borderId="5" xfId="0" applyNumberFormat="1" applyFont="1" applyBorder="1" applyAlignment="1" applyProtection="1">
      <alignment vertical="center"/>
    </xf>
    <xf numFmtId="165" fontId="30" fillId="0" borderId="69" xfId="0" applyNumberFormat="1" applyFont="1" applyFill="1" applyBorder="1" applyAlignment="1" applyProtection="1">
      <alignment vertical="center"/>
    </xf>
    <xf numFmtId="165" fontId="23" fillId="0" borderId="24" xfId="0" applyNumberFormat="1" applyFont="1" applyFill="1" applyBorder="1" applyAlignment="1" applyProtection="1">
      <alignment vertical="center"/>
    </xf>
    <xf numFmtId="165" fontId="4" fillId="0" borderId="5" xfId="0" applyNumberFormat="1" applyFont="1" applyBorder="1" applyAlignment="1" applyProtection="1">
      <alignment vertical="center"/>
    </xf>
    <xf numFmtId="165" fontId="4" fillId="0" borderId="139" xfId="0" applyNumberFormat="1" applyFont="1" applyBorder="1" applyAlignment="1" applyProtection="1">
      <alignment vertical="center"/>
    </xf>
    <xf numFmtId="165" fontId="17" fillId="0" borderId="22" xfId="0" applyNumberFormat="1" applyFont="1" applyBorder="1" applyAlignment="1" applyProtection="1">
      <alignment vertical="center"/>
    </xf>
    <xf numFmtId="165" fontId="32" fillId="0" borderId="55" xfId="0" applyNumberFormat="1" applyFont="1" applyFill="1" applyBorder="1" applyAlignment="1" applyProtection="1">
      <alignment vertical="center"/>
    </xf>
    <xf numFmtId="165" fontId="32" fillId="0" borderId="5" xfId="0" applyNumberFormat="1" applyFont="1" applyFill="1" applyBorder="1" applyAlignment="1" applyProtection="1">
      <alignment vertical="center"/>
    </xf>
    <xf numFmtId="165" fontId="5" fillId="0" borderId="20" xfId="0" applyNumberFormat="1" applyFont="1" applyFill="1" applyBorder="1" applyAlignment="1" applyProtection="1">
      <alignment vertical="center"/>
    </xf>
    <xf numFmtId="165" fontId="4" fillId="0" borderId="73" xfId="0" applyNumberFormat="1" applyFont="1" applyFill="1" applyBorder="1" applyAlignment="1" applyProtection="1">
      <alignment vertical="center"/>
    </xf>
    <xf numFmtId="165" fontId="32" fillId="0" borderId="140" xfId="0" applyNumberFormat="1" applyFont="1" applyFill="1" applyBorder="1" applyAlignment="1" applyProtection="1">
      <alignment vertical="center"/>
    </xf>
    <xf numFmtId="165" fontId="7" fillId="0" borderId="79" xfId="0" applyNumberFormat="1" applyFont="1" applyBorder="1" applyAlignment="1" applyProtection="1">
      <alignment vertical="center"/>
    </xf>
    <xf numFmtId="165" fontId="7" fillId="0" borderId="116" xfId="0" applyNumberFormat="1" applyFont="1" applyBorder="1" applyAlignment="1" applyProtection="1">
      <alignment vertical="center"/>
    </xf>
    <xf numFmtId="165" fontId="4" fillId="0" borderId="22" xfId="0" applyNumberFormat="1" applyFont="1" applyFill="1" applyBorder="1" applyAlignment="1" applyProtection="1">
      <alignment vertical="center"/>
    </xf>
    <xf numFmtId="165" fontId="17" fillId="0" borderId="140" xfId="0" applyNumberFormat="1" applyFont="1" applyFill="1" applyBorder="1" applyAlignment="1" applyProtection="1">
      <alignment vertical="center"/>
    </xf>
    <xf numFmtId="165" fontId="5" fillId="0" borderId="73" xfId="0" applyNumberFormat="1" applyFont="1" applyFill="1" applyBorder="1" applyAlignment="1" applyProtection="1">
      <alignment vertical="center"/>
    </xf>
    <xf numFmtId="165" fontId="52" fillId="0" borderId="139" xfId="0" applyNumberFormat="1" applyFont="1" applyFill="1" applyBorder="1" applyAlignment="1" applyProtection="1">
      <alignment vertical="center"/>
    </xf>
    <xf numFmtId="165" fontId="30" fillId="0" borderId="22" xfId="0" applyNumberFormat="1" applyFont="1" applyFill="1" applyBorder="1" applyAlignment="1" applyProtection="1">
      <alignment vertical="center"/>
    </xf>
    <xf numFmtId="165" fontId="5" fillId="0" borderId="140" xfId="0" applyNumberFormat="1" applyFont="1" applyFill="1" applyBorder="1" applyAlignment="1" applyProtection="1">
      <alignment vertical="center"/>
    </xf>
    <xf numFmtId="9" fontId="66" fillId="0" borderId="68" xfId="0" applyNumberFormat="1" applyFont="1" applyFill="1" applyBorder="1" applyAlignment="1" applyProtection="1">
      <alignment horizontal="center" vertical="center"/>
    </xf>
    <xf numFmtId="165" fontId="31" fillId="0" borderId="69" xfId="0" applyNumberFormat="1" applyFont="1" applyFill="1" applyBorder="1" applyAlignment="1" applyProtection="1">
      <alignment vertical="center"/>
    </xf>
    <xf numFmtId="165" fontId="16" fillId="2" borderId="141" xfId="0" applyNumberFormat="1" applyFont="1" applyFill="1" applyBorder="1" applyAlignment="1" applyProtection="1">
      <alignment horizontal="right" vertical="center"/>
    </xf>
    <xf numFmtId="165" fontId="16" fillId="2" borderId="142" xfId="0" applyNumberFormat="1" applyFont="1" applyFill="1" applyBorder="1" applyAlignment="1" applyProtection="1">
      <alignment horizontal="right" vertical="center"/>
    </xf>
    <xf numFmtId="165" fontId="16" fillId="2" borderId="3" xfId="0" applyNumberFormat="1" applyFont="1" applyFill="1" applyBorder="1" applyAlignment="1" applyProtection="1">
      <alignment horizontal="right" vertical="center"/>
    </xf>
    <xf numFmtId="165" fontId="16" fillId="6" borderId="143" xfId="0" applyNumberFormat="1" applyFont="1" applyFill="1" applyBorder="1" applyAlignment="1" applyProtection="1">
      <alignment horizontal="right" vertical="center"/>
    </xf>
    <xf numFmtId="165" fontId="16" fillId="2" borderId="143" xfId="0" applyNumberFormat="1" applyFont="1" applyFill="1" applyBorder="1" applyAlignment="1" applyProtection="1">
      <alignment horizontal="right" vertical="center"/>
    </xf>
    <xf numFmtId="0" fontId="29" fillId="2" borderId="15" xfId="0" applyFont="1" applyFill="1" applyBorder="1" applyAlignment="1" applyProtection="1">
      <alignment horizontal="center" vertical="center" wrapText="1"/>
    </xf>
    <xf numFmtId="165" fontId="16" fillId="2" borderId="6" xfId="0" applyNumberFormat="1" applyFont="1" applyFill="1" applyBorder="1" applyAlignment="1" applyProtection="1">
      <alignment horizontal="right" vertical="center"/>
    </xf>
    <xf numFmtId="165" fontId="16" fillId="2" borderId="79" xfId="0" applyNumberFormat="1" applyFont="1" applyFill="1" applyBorder="1" applyAlignment="1" applyProtection="1">
      <alignment horizontal="right" vertical="center"/>
    </xf>
    <xf numFmtId="165" fontId="16" fillId="2" borderId="12" xfId="0" applyNumberFormat="1" applyFont="1" applyFill="1" applyBorder="1" applyAlignment="1" applyProtection="1">
      <alignment horizontal="right" vertical="center"/>
    </xf>
    <xf numFmtId="165" fontId="16" fillId="2" borderId="26" xfId="0" applyNumberFormat="1" applyFont="1" applyFill="1" applyBorder="1" applyAlignment="1" applyProtection="1">
      <alignment horizontal="right" vertical="center"/>
    </xf>
    <xf numFmtId="165" fontId="16" fillId="2" borderId="137" xfId="0" applyNumberFormat="1" applyFont="1" applyFill="1" applyBorder="1" applyAlignment="1" applyProtection="1">
      <alignment horizontal="right" vertical="center"/>
    </xf>
    <xf numFmtId="165" fontId="16" fillId="2" borderId="119" xfId="0" applyNumberFormat="1" applyFont="1" applyFill="1" applyBorder="1" applyAlignment="1" applyProtection="1">
      <alignment horizontal="right" vertical="center"/>
    </xf>
    <xf numFmtId="165" fontId="16" fillId="6" borderId="144" xfId="0" applyNumberFormat="1" applyFont="1" applyFill="1" applyBorder="1" applyAlignment="1" applyProtection="1">
      <alignment horizontal="right" vertical="center"/>
    </xf>
    <xf numFmtId="165" fontId="16" fillId="6" borderId="114" xfId="0" applyNumberFormat="1" applyFont="1" applyFill="1" applyBorder="1" applyAlignment="1" applyProtection="1">
      <alignment horizontal="right" vertical="center"/>
    </xf>
    <xf numFmtId="176" fontId="38" fillId="0" borderId="76" xfId="0" applyNumberFormat="1" applyFont="1" applyFill="1" applyBorder="1" applyAlignment="1" applyProtection="1">
      <alignment horizontal="center" vertical="center"/>
    </xf>
    <xf numFmtId="176" fontId="38" fillId="0" borderId="98" xfId="0" applyNumberFormat="1" applyFont="1" applyFill="1" applyBorder="1" applyAlignment="1" applyProtection="1">
      <alignment horizontal="center" vertical="center"/>
    </xf>
    <xf numFmtId="165" fontId="16" fillId="2" borderId="122" xfId="0" applyNumberFormat="1" applyFont="1" applyFill="1" applyBorder="1" applyAlignment="1" applyProtection="1">
      <alignment horizontal="right" vertical="center"/>
    </xf>
    <xf numFmtId="165" fontId="16" fillId="2" borderId="6" xfId="0" applyNumberFormat="1" applyFont="1" applyFill="1" applyBorder="1" applyAlignment="1" applyProtection="1">
      <alignment horizontal="right" vertical="center"/>
      <protection locked="0"/>
    </xf>
    <xf numFmtId="165" fontId="16" fillId="2" borderId="12" xfId="0" applyNumberFormat="1" applyFont="1" applyFill="1" applyBorder="1" applyAlignment="1" applyProtection="1">
      <alignment horizontal="right" vertical="center"/>
      <protection locked="0"/>
    </xf>
    <xf numFmtId="165" fontId="16" fillId="6" borderId="120" xfId="0" applyNumberFormat="1" applyFont="1" applyFill="1" applyBorder="1" applyAlignment="1" applyProtection="1">
      <alignment horizontal="right" vertical="center"/>
    </xf>
    <xf numFmtId="165" fontId="16" fillId="2" borderId="120" xfId="0" applyNumberFormat="1" applyFont="1" applyFill="1" applyBorder="1" applyAlignment="1" applyProtection="1">
      <alignment horizontal="right" vertical="center"/>
      <protection locked="0"/>
    </xf>
    <xf numFmtId="170" fontId="29" fillId="0" borderId="1" xfId="0" applyNumberFormat="1" applyFont="1" applyFill="1" applyBorder="1" applyAlignment="1" applyProtection="1">
      <alignment horizontal="right" vertical="center"/>
    </xf>
    <xf numFmtId="0" fontId="29" fillId="0" borderId="1" xfId="0" applyFont="1" applyBorder="1" applyAlignment="1" applyProtection="1">
      <alignment horizontal="right" vertical="center"/>
    </xf>
    <xf numFmtId="170"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0" fontId="43" fillId="0" borderId="138" xfId="0" applyFont="1" applyFill="1" applyBorder="1" applyAlignment="1" applyProtection="1">
      <alignment horizontal="center" vertical="center"/>
    </xf>
    <xf numFmtId="0" fontId="95" fillId="0" borderId="78" xfId="0" applyFont="1" applyBorder="1" applyAlignment="1" applyProtection="1">
      <alignment vertical="center"/>
      <protection locked="0"/>
    </xf>
    <xf numFmtId="0" fontId="96" fillId="0" borderId="0" xfId="0" applyFont="1"/>
    <xf numFmtId="1" fontId="82" fillId="0" borderId="43" xfId="0" applyNumberFormat="1" applyFont="1" applyFill="1" applyBorder="1" applyAlignment="1" applyProtection="1">
      <alignment horizontal="center" vertical="center"/>
    </xf>
    <xf numFmtId="0" fontId="4" fillId="0" borderId="0" xfId="0" applyFont="1" applyAlignment="1">
      <alignment horizontal="center" vertical="center" wrapText="1"/>
    </xf>
    <xf numFmtId="0" fontId="97" fillId="0" borderId="0" xfId="0" applyFont="1"/>
    <xf numFmtId="10" fontId="4" fillId="0" borderId="133" xfId="0" applyNumberFormat="1" applyFont="1" applyBorder="1" applyAlignment="1">
      <alignment horizontal="center"/>
    </xf>
    <xf numFmtId="165" fontId="16" fillId="2" borderId="144" xfId="0" applyNumberFormat="1" applyFont="1" applyFill="1" applyBorder="1" applyAlignment="1" applyProtection="1">
      <alignment horizontal="right" vertical="center"/>
      <protection locked="0"/>
    </xf>
    <xf numFmtId="165" fontId="16" fillId="2" borderId="114" xfId="0" applyNumberFormat="1" applyFont="1" applyFill="1" applyBorder="1" applyAlignment="1" applyProtection="1">
      <alignment horizontal="right" vertical="center"/>
      <protection locked="0"/>
    </xf>
    <xf numFmtId="0" fontId="72" fillId="0" borderId="0" xfId="0" applyFont="1" applyBorder="1" applyAlignment="1" applyProtection="1">
      <alignment horizontal="left" vertical="center"/>
    </xf>
    <xf numFmtId="0" fontId="14" fillId="0" borderId="0" xfId="0" applyFont="1" applyBorder="1" applyAlignment="1">
      <alignment horizontal="left" vertical="center"/>
    </xf>
    <xf numFmtId="180" fontId="34" fillId="0" borderId="0" xfId="0" applyNumberFormat="1" applyFont="1" applyBorder="1" applyAlignment="1">
      <alignment horizontal="left" vertical="center"/>
    </xf>
    <xf numFmtId="0" fontId="20" fillId="2" borderId="172" xfId="0" applyFont="1" applyFill="1" applyBorder="1" applyAlignment="1" applyProtection="1">
      <alignment vertical="center"/>
      <protection locked="0"/>
    </xf>
    <xf numFmtId="0" fontId="20" fillId="2" borderId="5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4" fillId="0" borderId="18" xfId="0" applyFont="1" applyBorder="1"/>
    <xf numFmtId="0" fontId="1" fillId="0" borderId="13" xfId="0" applyFont="1" applyBorder="1"/>
    <xf numFmtId="0" fontId="1" fillId="0" borderId="20" xfId="0" applyFont="1" applyBorder="1"/>
    <xf numFmtId="0" fontId="14" fillId="0" borderId="2" xfId="0" applyFont="1" applyBorder="1"/>
    <xf numFmtId="0" fontId="1" fillId="0" borderId="0" xfId="0" applyFont="1" applyBorder="1"/>
    <xf numFmtId="0" fontId="15"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0" fontId="1" fillId="0" borderId="0" xfId="0" applyFont="1" applyBorder="1" applyAlignment="1">
      <alignment horizontal="right"/>
    </xf>
    <xf numFmtId="183" fontId="1" fillId="0" borderId="176" xfId="0" quotePrefix="1" applyNumberFormat="1" applyFont="1" applyBorder="1" applyAlignment="1">
      <alignment horizontal="center"/>
    </xf>
    <xf numFmtId="0" fontId="1" fillId="0" borderId="177" xfId="0" applyFont="1" applyBorder="1"/>
    <xf numFmtId="0" fontId="7" fillId="0" borderId="0" xfId="0" applyFont="1" applyBorder="1"/>
    <xf numFmtId="0" fontId="1" fillId="0" borderId="124" xfId="0" applyFont="1" applyBorder="1" applyAlignment="1">
      <alignment vertical="center"/>
    </xf>
    <xf numFmtId="0" fontId="1" fillId="0" borderId="7" xfId="0" applyFont="1" applyBorder="1"/>
    <xf numFmtId="0" fontId="1" fillId="0" borderId="178" xfId="0" applyFont="1" applyBorder="1"/>
    <xf numFmtId="0" fontId="7" fillId="0" borderId="7" xfId="0" applyFont="1" applyBorder="1"/>
    <xf numFmtId="0" fontId="1" fillId="0" borderId="130" xfId="0" applyFont="1" applyBorder="1"/>
    <xf numFmtId="49" fontId="1" fillId="0" borderId="0" xfId="0" applyNumberFormat="1" applyFont="1" applyBorder="1"/>
    <xf numFmtId="0" fontId="7" fillId="0" borderId="124" xfId="0" applyFont="1" applyFill="1" applyBorder="1"/>
    <xf numFmtId="0" fontId="1" fillId="0" borderId="124" xfId="0" applyFont="1" applyFill="1" applyBorder="1"/>
    <xf numFmtId="0" fontId="1" fillId="0" borderId="124" xfId="0" applyFont="1" applyBorder="1"/>
    <xf numFmtId="0" fontId="1" fillId="0" borderId="176" xfId="0" applyFont="1" applyBorder="1"/>
    <xf numFmtId="0" fontId="1" fillId="0" borderId="73" xfId="0" applyFont="1" applyBorder="1"/>
    <xf numFmtId="0" fontId="15" fillId="0" borderId="2" xfId="0" quotePrefix="1" applyFont="1" applyBorder="1" applyAlignment="1">
      <alignment horizontal="center"/>
    </xf>
    <xf numFmtId="0" fontId="7" fillId="0" borderId="113" xfId="0" applyFont="1" applyBorder="1" applyAlignment="1">
      <alignment horizontal="center"/>
    </xf>
    <xf numFmtId="0" fontId="1" fillId="0" borderId="0" xfId="0" applyFont="1" applyFill="1" applyBorder="1"/>
    <xf numFmtId="0" fontId="1" fillId="0" borderId="53" xfId="0" applyFont="1" applyBorder="1"/>
    <xf numFmtId="173" fontId="1" fillId="0" borderId="179" xfId="0" applyNumberFormat="1" applyFont="1" applyBorder="1"/>
    <xf numFmtId="0" fontId="1" fillId="0" borderId="10" xfId="0" applyFont="1" applyBorder="1"/>
    <xf numFmtId="165" fontId="1" fillId="0" borderId="113" xfId="0" applyNumberFormat="1" applyFont="1" applyBorder="1"/>
    <xf numFmtId="0" fontId="1" fillId="0" borderId="113" xfId="0" applyFont="1" applyBorder="1"/>
    <xf numFmtId="0" fontId="7" fillId="0" borderId="41" xfId="0" applyFont="1" applyBorder="1" applyAlignment="1">
      <alignment horizontal="center"/>
    </xf>
    <xf numFmtId="0" fontId="1" fillId="0" borderId="41" xfId="0" applyFont="1" applyBorder="1"/>
    <xf numFmtId="0" fontId="1" fillId="0" borderId="0" xfId="0" applyFont="1"/>
    <xf numFmtId="165" fontId="1" fillId="0" borderId="180" xfId="0" applyNumberFormat="1" applyFont="1" applyBorder="1"/>
    <xf numFmtId="173" fontId="1" fillId="0" borderId="113" xfId="0" applyNumberFormat="1" applyFont="1" applyBorder="1"/>
    <xf numFmtId="0" fontId="7" fillId="0" borderId="2" xfId="0" applyFont="1" applyBorder="1" applyAlignment="1">
      <alignment horizontal="right"/>
    </xf>
    <xf numFmtId="0" fontId="1" fillId="0" borderId="42" xfId="0" applyFont="1" applyBorder="1"/>
    <xf numFmtId="0" fontId="7" fillId="0" borderId="0" xfId="0" applyFont="1" applyFill="1" applyBorder="1"/>
    <xf numFmtId="0" fontId="14" fillId="0" borderId="41" xfId="0" applyFont="1" applyBorder="1"/>
    <xf numFmtId="0" fontId="1" fillId="0" borderId="43" xfId="0" applyFont="1" applyFill="1" applyBorder="1"/>
    <xf numFmtId="9" fontId="7" fillId="0" borderId="0" xfId="0" applyNumberFormat="1" applyFont="1" applyBorder="1" applyAlignment="1">
      <alignment horizontal="right"/>
    </xf>
    <xf numFmtId="0" fontId="14" fillId="0" borderId="0" xfId="0" applyFont="1" applyBorder="1" applyAlignment="1"/>
    <xf numFmtId="173" fontId="1" fillId="0" borderId="186" xfId="0" applyNumberFormat="1" applyFont="1" applyBorder="1"/>
    <xf numFmtId="0" fontId="1" fillId="0" borderId="0" xfId="0" applyFont="1" applyFill="1" applyBorder="1" applyAlignment="1"/>
    <xf numFmtId="0" fontId="1" fillId="0" borderId="16" xfId="0" applyFont="1" applyFill="1" applyBorder="1"/>
    <xf numFmtId="0" fontId="1" fillId="0" borderId="17" xfId="0" applyFont="1" applyBorder="1"/>
    <xf numFmtId="0" fontId="1" fillId="0" borderId="16" xfId="0" applyFont="1" applyBorder="1"/>
    <xf numFmtId="0" fontId="7" fillId="0" borderId="42" xfId="0" applyFont="1" applyBorder="1"/>
    <xf numFmtId="173" fontId="7" fillId="0" borderId="179"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3" xfId="0" applyNumberFormat="1" applyFont="1" applyBorder="1"/>
    <xf numFmtId="0" fontId="1" fillId="0" borderId="10" xfId="0" applyFont="1" applyFill="1" applyBorder="1"/>
    <xf numFmtId="173" fontId="7" fillId="0" borderId="3" xfId="0" applyNumberFormat="1" applyFont="1" applyBorder="1"/>
    <xf numFmtId="0" fontId="14" fillId="0" borderId="187" xfId="0" applyFont="1" applyBorder="1"/>
    <xf numFmtId="0" fontId="100" fillId="0" borderId="4" xfId="0" applyFont="1" applyBorder="1"/>
    <xf numFmtId="0" fontId="1" fillId="0" borderId="4" xfId="0" applyFont="1" applyBorder="1"/>
    <xf numFmtId="0" fontId="1" fillId="0" borderId="22" xfId="0" applyFont="1" applyBorder="1"/>
    <xf numFmtId="0" fontId="1" fillId="0" borderId="8" xfId="0" applyFont="1" applyBorder="1"/>
    <xf numFmtId="0" fontId="16" fillId="0" borderId="10" xfId="0" applyFont="1" applyFill="1" applyBorder="1" applyAlignment="1" applyProtection="1">
      <alignment horizontal="right" vertical="center"/>
    </xf>
    <xf numFmtId="0" fontId="15" fillId="0" borderId="0" xfId="0" applyFont="1" applyAlignment="1">
      <alignment horizontal="center" vertical="top" wrapText="1"/>
    </xf>
    <xf numFmtId="0" fontId="51"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06" fillId="0" borderId="0" xfId="0" applyFont="1" applyAlignment="1">
      <alignment vertical="center" wrapText="1"/>
    </xf>
    <xf numFmtId="0" fontId="107" fillId="0" borderId="0" xfId="0" applyFont="1" applyAlignment="1">
      <alignment vertical="center" wrapText="1"/>
    </xf>
    <xf numFmtId="0" fontId="5" fillId="0" borderId="74" xfId="0" applyFont="1" applyFill="1" applyBorder="1" applyAlignment="1" applyProtection="1">
      <alignment vertical="center"/>
    </xf>
    <xf numFmtId="0" fontId="4" fillId="0" borderId="68" xfId="0" applyFont="1" applyBorder="1" applyAlignment="1" applyProtection="1">
      <alignment vertical="center"/>
    </xf>
    <xf numFmtId="0" fontId="4" fillId="0" borderId="68" xfId="0" applyFont="1" applyBorder="1" applyAlignment="1" applyProtection="1">
      <alignment horizontal="left" vertical="center"/>
    </xf>
    <xf numFmtId="0" fontId="7" fillId="0" borderId="68" xfId="0" applyFont="1" applyBorder="1" applyAlignment="1" applyProtection="1">
      <alignment horizontal="left" vertical="center"/>
    </xf>
    <xf numFmtId="0" fontId="6" fillId="0" borderId="68" xfId="0" applyFont="1" applyFill="1" applyBorder="1" applyAlignment="1" applyProtection="1">
      <alignment vertical="center"/>
    </xf>
    <xf numFmtId="9" fontId="66" fillId="0" borderId="68" xfId="0" applyNumberFormat="1" applyFont="1" applyFill="1" applyBorder="1" applyAlignment="1" applyProtection="1">
      <alignment vertical="center"/>
    </xf>
    <xf numFmtId="0" fontId="1"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71" fillId="0" borderId="26" xfId="0" applyFont="1" applyFill="1" applyBorder="1" applyAlignment="1" applyProtection="1">
      <alignment horizontal="center" vertical="center"/>
    </xf>
    <xf numFmtId="166" fontId="5" fillId="0" borderId="26" xfId="0" applyNumberFormat="1" applyFont="1" applyFill="1" applyBorder="1" applyAlignment="1" applyProtection="1">
      <alignment horizontal="right" vertical="center"/>
    </xf>
    <xf numFmtId="0" fontId="96" fillId="0" borderId="74" xfId="0" applyFont="1" applyBorder="1" applyAlignment="1">
      <alignment horizontal="left" vertical="center"/>
    </xf>
    <xf numFmtId="185" fontId="42" fillId="0" borderId="12" xfId="0" applyNumberFormat="1" applyFont="1" applyBorder="1" applyAlignment="1">
      <alignment horizontal="left" vertical="center"/>
    </xf>
    <xf numFmtId="0" fontId="17" fillId="0" borderId="16" xfId="0" applyFont="1" applyBorder="1" applyAlignment="1">
      <alignment horizontal="left" vertical="center"/>
    </xf>
    <xf numFmtId="14" fontId="20" fillId="2" borderId="29" xfId="0" applyNumberFormat="1" applyFont="1" applyFill="1" applyBorder="1" applyAlignment="1" applyProtection="1">
      <alignment vertical="center"/>
      <protection locked="0"/>
    </xf>
    <xf numFmtId="0" fontId="17" fillId="0" borderId="37" xfId="0" applyFont="1" applyBorder="1" applyAlignment="1">
      <alignment horizontal="left" vertical="center"/>
    </xf>
    <xf numFmtId="14" fontId="20" fillId="2" borderId="16" xfId="0" applyNumberFormat="1" applyFont="1" applyFill="1" applyBorder="1" applyAlignment="1" applyProtection="1">
      <alignment vertical="center"/>
      <protection locked="0"/>
    </xf>
    <xf numFmtId="0" fontId="17" fillId="0" borderId="13" xfId="0" applyFont="1" applyBorder="1" applyAlignment="1">
      <alignment horizontal="left" vertical="center"/>
    </xf>
    <xf numFmtId="14" fontId="22" fillId="2" borderId="16" xfId="0" applyNumberFormat="1" applyFont="1" applyFill="1" applyBorder="1" applyAlignment="1" applyProtection="1">
      <alignment vertical="center"/>
      <protection locked="0"/>
    </xf>
    <xf numFmtId="14" fontId="22" fillId="2" borderId="40" xfId="0" applyNumberFormat="1"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22" fillId="2" borderId="10" xfId="0" applyFont="1" applyFill="1" applyBorder="1" applyAlignment="1" applyProtection="1">
      <alignment vertical="center"/>
      <protection locked="0"/>
    </xf>
    <xf numFmtId="0" fontId="7" fillId="0" borderId="25" xfId="0" applyFont="1" applyBorder="1" applyAlignment="1">
      <alignment horizontal="center" vertical="center" wrapText="1"/>
    </xf>
    <xf numFmtId="0" fontId="17" fillId="0" borderId="16" xfId="0" applyFont="1" applyBorder="1" applyAlignment="1">
      <alignment vertical="center"/>
    </xf>
    <xf numFmtId="0" fontId="96" fillId="0" borderId="21" xfId="0" applyFont="1" applyBorder="1" applyAlignment="1">
      <alignment vertical="center"/>
    </xf>
    <xf numFmtId="0" fontId="17" fillId="0" borderId="54" xfId="0" applyFont="1" applyBorder="1" applyAlignment="1">
      <alignment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72" fillId="0" borderId="2" xfId="0" applyFont="1" applyBorder="1" applyAlignment="1" applyProtection="1">
      <alignment horizontal="left" vertical="center"/>
    </xf>
    <xf numFmtId="0" fontId="53" fillId="0" borderId="0" xfId="0" applyFont="1" applyBorder="1" applyAlignment="1">
      <alignment vertical="center"/>
    </xf>
    <xf numFmtId="1" fontId="41" fillId="0" borderId="0" xfId="0" applyNumberFormat="1" applyFont="1" applyBorder="1" applyAlignment="1">
      <alignment horizontal="right" vertical="center"/>
    </xf>
    <xf numFmtId="0" fontId="17" fillId="0" borderId="37" xfId="0" applyFont="1" applyBorder="1" applyAlignment="1">
      <alignment vertical="center"/>
    </xf>
    <xf numFmtId="0" fontId="20" fillId="2" borderId="45"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16" xfId="0" applyFont="1" applyBorder="1" applyAlignment="1">
      <alignment horizontal="right" vertical="center"/>
    </xf>
    <xf numFmtId="166" fontId="7" fillId="0" borderId="0" xfId="0" applyNumberFormat="1" applyFont="1" applyBorder="1" applyAlignment="1">
      <alignment horizontal="right" vertical="center"/>
    </xf>
    <xf numFmtId="165" fontId="14" fillId="0" borderId="39" xfId="0" applyNumberFormat="1" applyFont="1" applyBorder="1" applyAlignment="1">
      <alignment vertical="center"/>
    </xf>
    <xf numFmtId="173" fontId="1" fillId="0" borderId="26" xfId="0" applyNumberFormat="1" applyFont="1" applyBorder="1" applyAlignment="1">
      <alignment vertical="center" wrapText="1"/>
    </xf>
    <xf numFmtId="166" fontId="14" fillId="0" borderId="37" xfId="0" applyNumberFormat="1" applyFont="1" applyBorder="1" applyAlignment="1">
      <alignment horizontal="left" vertical="center"/>
    </xf>
    <xf numFmtId="0" fontId="7" fillId="0" borderId="29" xfId="0" applyFont="1" applyBorder="1" applyAlignment="1">
      <alignment horizontal="right" vertical="center"/>
    </xf>
    <xf numFmtId="165" fontId="16" fillId="0" borderId="22" xfId="0" applyNumberFormat="1" applyFont="1" applyBorder="1" applyAlignment="1">
      <alignment vertical="center"/>
    </xf>
    <xf numFmtId="165" fontId="7" fillId="0" borderId="112" xfId="1" applyFont="1" applyBorder="1" applyAlignment="1">
      <alignment vertical="center"/>
    </xf>
    <xf numFmtId="165" fontId="52" fillId="3" borderId="26" xfId="1" applyFont="1" applyFill="1" applyBorder="1" applyAlignment="1">
      <alignment vertical="center"/>
    </xf>
    <xf numFmtId="165" fontId="17" fillId="0" borderId="72" xfId="1" applyFont="1" applyBorder="1" applyAlignment="1">
      <alignment vertical="center"/>
    </xf>
    <xf numFmtId="165" fontId="17" fillId="0" borderId="65" xfId="1" applyFont="1" applyBorder="1" applyAlignment="1">
      <alignment vertical="center"/>
    </xf>
    <xf numFmtId="0" fontId="14" fillId="0" borderId="37" xfId="0" applyFont="1" applyBorder="1" applyAlignment="1">
      <alignment horizontal="centerContinuous" vertical="center"/>
    </xf>
    <xf numFmtId="0" fontId="14" fillId="0" borderId="38" xfId="0" applyFont="1" applyBorder="1" applyAlignment="1">
      <alignment horizontal="centerContinuous" vertical="center"/>
    </xf>
    <xf numFmtId="0" fontId="108" fillId="0" borderId="2" xfId="0" applyFont="1" applyBorder="1" applyAlignment="1" applyProtection="1">
      <alignment horizontal="left" vertical="center"/>
    </xf>
    <xf numFmtId="0" fontId="96" fillId="0" borderId="21" xfId="0" applyFont="1" applyBorder="1" applyAlignment="1">
      <alignment horizontal="left" vertical="center"/>
    </xf>
    <xf numFmtId="0" fontId="17" fillId="0" borderId="54" xfId="0" applyFont="1" applyBorder="1" applyAlignment="1">
      <alignment horizontal="left" vertical="center"/>
    </xf>
    <xf numFmtId="0" fontId="17" fillId="0" borderId="54" xfId="0" applyFont="1" applyBorder="1" applyAlignment="1">
      <alignment horizontal="center" vertical="center"/>
    </xf>
    <xf numFmtId="0" fontId="109" fillId="0" borderId="54" xfId="0" applyFont="1" applyBorder="1" applyAlignment="1">
      <alignment horizontal="center" vertical="center"/>
    </xf>
    <xf numFmtId="0" fontId="0" fillId="0" borderId="13" xfId="0" applyBorder="1"/>
    <xf numFmtId="0" fontId="0" fillId="0" borderId="20" xfId="0" applyBorder="1"/>
    <xf numFmtId="0" fontId="72" fillId="0" borderId="2" xfId="0" applyFont="1" applyBorder="1" applyAlignment="1">
      <alignment vertical="center"/>
    </xf>
    <xf numFmtId="0" fontId="72" fillId="0" borderId="0" xfId="0" applyFont="1" applyBorder="1" applyAlignment="1">
      <alignment vertical="center"/>
    </xf>
    <xf numFmtId="0" fontId="53" fillId="0" borderId="0" xfId="18" applyFont="1" applyBorder="1" applyAlignment="1">
      <alignment vertical="center"/>
    </xf>
    <xf numFmtId="1" fontId="110" fillId="0" borderId="4" xfId="0" applyNumberFormat="1" applyFont="1" applyBorder="1" applyAlignment="1">
      <alignment horizontal="left" vertical="center"/>
    </xf>
    <xf numFmtId="0" fontId="0" fillId="0" borderId="4" xfId="0" applyBorder="1"/>
    <xf numFmtId="0" fontId="0" fillId="0" borderId="22" xfId="0" applyBorder="1"/>
    <xf numFmtId="0" fontId="17" fillId="0" borderId="18" xfId="0" applyFont="1" applyBorder="1" applyAlignment="1">
      <alignment horizontal="left" vertical="center"/>
    </xf>
    <xf numFmtId="0" fontId="15" fillId="0" borderId="13" xfId="0" applyFont="1" applyBorder="1" applyAlignment="1">
      <alignment horizontal="right" vertical="center"/>
    </xf>
    <xf numFmtId="0" fontId="14" fillId="0" borderId="13"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0" fillId="0" borderId="10" xfId="0" applyBorder="1"/>
    <xf numFmtId="0" fontId="0" fillId="0" borderId="73" xfId="0" applyBorder="1"/>
    <xf numFmtId="0" fontId="17" fillId="0" borderId="26" xfId="0" applyFont="1" applyBorder="1" applyAlignment="1">
      <alignment horizontal="center" vertical="center" wrapText="1"/>
    </xf>
    <xf numFmtId="0" fontId="20" fillId="2" borderId="27" xfId="0" applyFont="1" applyFill="1" applyBorder="1" applyAlignment="1" applyProtection="1">
      <alignment horizontal="center" vertical="center"/>
      <protection locked="0"/>
    </xf>
    <xf numFmtId="15" fontId="20" fillId="2" borderId="29" xfId="0" applyNumberFormat="1" applyFont="1" applyFill="1" applyBorder="1" applyAlignment="1" applyProtection="1">
      <alignment vertical="center"/>
      <protection locked="0"/>
    </xf>
    <xf numFmtId="165" fontId="1" fillId="0" borderId="53" xfId="1" applyFont="1" applyBorder="1" applyAlignment="1">
      <alignment vertical="center"/>
    </xf>
    <xf numFmtId="0" fontId="20" fillId="2" borderId="30" xfId="0" applyFont="1" applyFill="1" applyBorder="1" applyAlignment="1" applyProtection="1">
      <alignment horizontal="center" vertical="center"/>
      <protection locked="0"/>
    </xf>
    <xf numFmtId="15" fontId="20" fillId="2" borderId="33" xfId="0" applyNumberFormat="1" applyFont="1" applyFill="1" applyBorder="1" applyAlignment="1" applyProtection="1">
      <alignment vertical="center"/>
      <protection locked="0"/>
    </xf>
    <xf numFmtId="165" fontId="1" fillId="0" borderId="48" xfId="1" applyFont="1" applyBorder="1" applyAlignment="1">
      <alignment vertical="center"/>
    </xf>
    <xf numFmtId="0" fontId="20" fillId="2" borderId="34" xfId="0" applyFont="1" applyFill="1" applyBorder="1" applyAlignment="1" applyProtection="1">
      <alignment horizontal="center" vertical="center"/>
      <protection locked="0"/>
    </xf>
    <xf numFmtId="15" fontId="20" fillId="2" borderId="36" xfId="0" applyNumberFormat="1" applyFont="1" applyFill="1" applyBorder="1" applyAlignment="1" applyProtection="1">
      <alignment vertical="center"/>
      <protection locked="0"/>
    </xf>
    <xf numFmtId="165" fontId="1" fillId="0" borderId="3" xfId="1" applyFont="1" applyBorder="1" applyAlignment="1">
      <alignment vertical="center"/>
    </xf>
    <xf numFmtId="0" fontId="7" fillId="0" borderId="56" xfId="0" applyFont="1" applyBorder="1" applyAlignment="1">
      <alignment horizontal="right" vertical="center"/>
    </xf>
    <xf numFmtId="0" fontId="7" fillId="0" borderId="1" xfId="0" applyFont="1" applyBorder="1" applyAlignment="1">
      <alignment horizontal="right" vertical="center"/>
    </xf>
    <xf numFmtId="0" fontId="0" fillId="0" borderId="1" xfId="0" applyBorder="1"/>
    <xf numFmtId="166" fontId="7" fillId="0" borderId="57" xfId="0" applyNumberFormat="1" applyFont="1" applyBorder="1" applyAlignment="1">
      <alignment horizontal="right" vertical="center"/>
    </xf>
    <xf numFmtId="165" fontId="7" fillId="0" borderId="114" xfId="1" applyFont="1" applyBorder="1" applyAlignment="1">
      <alignment vertical="center"/>
    </xf>
    <xf numFmtId="0" fontId="7" fillId="0" borderId="18" xfId="0" applyFont="1" applyBorder="1" applyAlignment="1">
      <alignment horizontal="right" vertical="center"/>
    </xf>
    <xf numFmtId="165" fontId="52" fillId="2" borderId="119" xfId="1" applyFont="1" applyFill="1" applyBorder="1" applyAlignment="1">
      <alignment vertical="center"/>
    </xf>
    <xf numFmtId="0" fontId="17" fillId="0" borderId="8" xfId="0" applyFont="1" applyBorder="1" applyAlignment="1">
      <alignment horizontal="left" vertical="center"/>
    </xf>
    <xf numFmtId="166" fontId="14" fillId="0" borderId="4" xfId="0" applyNumberFormat="1" applyFont="1" applyBorder="1" applyAlignment="1">
      <alignment vertical="center"/>
    </xf>
    <xf numFmtId="165" fontId="1" fillId="0" borderId="4" xfId="0" applyNumberFormat="1" applyFont="1" applyBorder="1" applyAlignment="1">
      <alignment vertical="center"/>
    </xf>
    <xf numFmtId="0" fontId="91" fillId="0" borderId="209" xfId="0" applyFont="1" applyBorder="1"/>
    <xf numFmtId="0" fontId="0" fillId="0" borderId="121" xfId="0" applyBorder="1"/>
    <xf numFmtId="0" fontId="0" fillId="0" borderId="72" xfId="0" applyBorder="1"/>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1" fillId="12" borderId="210" xfId="0" applyFont="1" applyFill="1" applyBorder="1" applyAlignment="1">
      <alignment wrapText="1"/>
    </xf>
    <xf numFmtId="189" fontId="1" fillId="12" borderId="180" xfId="0" quotePrefix="1" applyNumberFormat="1" applyFont="1" applyFill="1" applyBorder="1"/>
    <xf numFmtId="49" fontId="1" fillId="12" borderId="180" xfId="0" quotePrefix="1" applyNumberFormat="1" applyFont="1" applyFill="1" applyBorder="1"/>
    <xf numFmtId="49" fontId="1" fillId="12" borderId="180" xfId="0" applyNumberFormat="1" applyFont="1" applyFill="1" applyBorder="1"/>
    <xf numFmtId="189" fontId="1" fillId="12" borderId="180" xfId="0" quotePrefix="1" applyNumberFormat="1" applyFont="1" applyFill="1" applyBorder="1" applyAlignment="1">
      <alignment horizontal="center"/>
    </xf>
    <xf numFmtId="49" fontId="1" fillId="12" borderId="180" xfId="0" applyNumberFormat="1" applyFont="1" applyFill="1" applyBorder="1" applyAlignment="1">
      <alignment horizontal="center"/>
    </xf>
    <xf numFmtId="173" fontId="20" fillId="2" borderId="180" xfId="0" applyNumberFormat="1" applyFont="1" applyFill="1" applyBorder="1" applyAlignment="1" applyProtection="1">
      <alignment vertical="center"/>
      <protection locked="0"/>
    </xf>
    <xf numFmtId="165" fontId="1" fillId="0" borderId="189" xfId="1" applyFont="1" applyBorder="1" applyAlignment="1">
      <alignment vertical="center"/>
    </xf>
    <xf numFmtId="0" fontId="0" fillId="12" borderId="211" xfId="0" applyFill="1" applyBorder="1"/>
    <xf numFmtId="189" fontId="1" fillId="12" borderId="182" xfId="0" quotePrefix="1" applyNumberFormat="1" applyFont="1" applyFill="1" applyBorder="1"/>
    <xf numFmtId="49" fontId="1" fillId="12" borderId="182" xfId="0" quotePrefix="1" applyNumberFormat="1" applyFont="1" applyFill="1" applyBorder="1"/>
    <xf numFmtId="49" fontId="1" fillId="12" borderId="182" xfId="0" applyNumberFormat="1" applyFont="1" applyFill="1" applyBorder="1"/>
    <xf numFmtId="49" fontId="1" fillId="12" borderId="182" xfId="0" applyNumberFormat="1" applyFont="1" applyFill="1" applyBorder="1" applyAlignment="1">
      <alignment horizontal="center"/>
    </xf>
    <xf numFmtId="189" fontId="1" fillId="12" borderId="182" xfId="0" quotePrefix="1" applyNumberFormat="1" applyFont="1" applyFill="1" applyBorder="1" applyAlignment="1">
      <alignment horizontal="center"/>
    </xf>
    <xf numFmtId="49" fontId="0" fillId="12" borderId="182" xfId="0" applyNumberFormat="1" applyFill="1" applyBorder="1"/>
    <xf numFmtId="173" fontId="20" fillId="2" borderId="182" xfId="0" applyNumberFormat="1" applyFont="1" applyFill="1" applyBorder="1" applyAlignment="1" applyProtection="1">
      <alignment vertical="center"/>
      <protection locked="0"/>
    </xf>
    <xf numFmtId="165" fontId="1" fillId="0" borderId="212" xfId="1" applyFont="1" applyBorder="1" applyAlignment="1">
      <alignment vertical="center"/>
    </xf>
    <xf numFmtId="49" fontId="7" fillId="12" borderId="182" xfId="0" applyNumberFormat="1" applyFont="1" applyFill="1" applyBorder="1" applyAlignment="1">
      <alignment horizontal="center"/>
    </xf>
    <xf numFmtId="49" fontId="7" fillId="12" borderId="182" xfId="0" applyNumberFormat="1" applyFont="1" applyFill="1" applyBorder="1"/>
    <xf numFmtId="49" fontId="1" fillId="12" borderId="182" xfId="0" quotePrefix="1" applyNumberFormat="1" applyFont="1" applyFill="1" applyBorder="1" applyAlignment="1">
      <alignment horizontal="center"/>
    </xf>
    <xf numFmtId="0" fontId="20" fillId="12" borderId="213" xfId="0" applyFont="1" applyFill="1" applyBorder="1" applyAlignment="1" applyProtection="1">
      <alignment horizontal="center" vertical="center"/>
      <protection locked="0"/>
    </xf>
    <xf numFmtId="189" fontId="1" fillId="12" borderId="214" xfId="0" quotePrefix="1" applyNumberFormat="1" applyFont="1" applyFill="1" applyBorder="1"/>
    <xf numFmtId="49" fontId="20" fillId="12" borderId="214" xfId="0" applyNumberFormat="1" applyFont="1" applyFill="1" applyBorder="1" applyAlignment="1" applyProtection="1">
      <alignment vertical="center"/>
      <protection locked="0"/>
    </xf>
    <xf numFmtId="189" fontId="1" fillId="12" borderId="214" xfId="0" quotePrefix="1" applyNumberFormat="1" applyFont="1" applyFill="1" applyBorder="1" applyAlignment="1">
      <alignment horizontal="center"/>
    </xf>
    <xf numFmtId="49" fontId="20" fillId="12" borderId="214" xfId="0" applyNumberFormat="1" applyFont="1" applyFill="1" applyBorder="1" applyAlignment="1" applyProtection="1">
      <alignment vertical="center"/>
    </xf>
    <xf numFmtId="173" fontId="20" fillId="2" borderId="214" xfId="0" applyNumberFormat="1" applyFont="1" applyFill="1" applyBorder="1" applyAlignment="1" applyProtection="1">
      <alignment vertical="center"/>
      <protection locked="0"/>
    </xf>
    <xf numFmtId="165" fontId="1" fillId="0" borderId="215" xfId="1" applyFont="1" applyBorder="1" applyAlignment="1">
      <alignment vertical="center"/>
    </xf>
    <xf numFmtId="166" fontId="7" fillId="0" borderId="60" xfId="0" applyNumberFormat="1" applyFont="1" applyBorder="1" applyAlignment="1">
      <alignment horizontal="right" vertical="center"/>
    </xf>
    <xf numFmtId="165" fontId="7" fillId="0" borderId="120" xfId="1" applyFont="1" applyBorder="1" applyAlignment="1">
      <alignment vertical="center"/>
    </xf>
    <xf numFmtId="166" fontId="7" fillId="0" borderId="13" xfId="0" applyNumberFormat="1" applyFont="1" applyBorder="1" applyAlignment="1">
      <alignment horizontal="right" vertical="center"/>
    </xf>
    <xf numFmtId="165" fontId="24" fillId="2" borderId="98" xfId="1" applyFont="1" applyFill="1" applyBorder="1" applyAlignment="1">
      <alignment vertical="center"/>
    </xf>
    <xf numFmtId="165" fontId="7" fillId="0" borderId="114" xfId="1" applyFont="1" applyFill="1" applyBorder="1" applyAlignment="1">
      <alignment vertical="center"/>
    </xf>
    <xf numFmtId="165" fontId="24" fillId="0" borderId="3" xfId="1" applyFont="1" applyFill="1" applyBorder="1" applyAlignment="1">
      <alignment vertical="center"/>
    </xf>
    <xf numFmtId="0" fontId="17" fillId="0" borderId="4" xfId="0" applyFont="1" applyBorder="1" applyAlignment="1">
      <alignment horizontal="right"/>
    </xf>
    <xf numFmtId="165" fontId="17" fillId="0" borderId="22" xfId="0" applyNumberFormat="1" applyFont="1" applyBorder="1"/>
    <xf numFmtId="0" fontId="14" fillId="0" borderId="54" xfId="0" applyFont="1" applyBorder="1" applyAlignment="1">
      <alignment vertical="center"/>
    </xf>
    <xf numFmtId="166" fontId="14" fillId="0" borderId="13" xfId="0" applyNumberFormat="1" applyFont="1" applyBorder="1" applyAlignment="1">
      <alignment vertical="center"/>
    </xf>
    <xf numFmtId="165" fontId="1" fillId="0" borderId="20" xfId="0" applyNumberFormat="1" applyFont="1" applyBorder="1" applyAlignment="1">
      <alignment vertical="center"/>
    </xf>
    <xf numFmtId="0" fontId="7" fillId="0" borderId="27" xfId="0" applyFont="1" applyBorder="1" applyAlignment="1">
      <alignment horizontal="right" vertical="center"/>
    </xf>
    <xf numFmtId="166" fontId="14" fillId="0" borderId="0" xfId="0" applyNumberFormat="1" applyFont="1" applyBorder="1" applyAlignment="1">
      <alignment vertical="center"/>
    </xf>
    <xf numFmtId="165" fontId="1" fillId="0" borderId="5" xfId="0" applyNumberFormat="1" applyFont="1" applyBorder="1" applyAlignment="1">
      <alignment vertical="center"/>
    </xf>
    <xf numFmtId="0" fontId="7" fillId="0" borderId="41" xfId="0" applyFont="1" applyBorder="1" applyAlignment="1">
      <alignment horizontal="right" vertical="center"/>
    </xf>
    <xf numFmtId="0" fontId="14" fillId="0" borderId="40" xfId="0" applyFont="1" applyBorder="1" applyAlignment="1">
      <alignment horizontal="right" vertical="center"/>
    </xf>
    <xf numFmtId="0" fontId="14" fillId="0" borderId="40" xfId="0" applyFont="1" applyBorder="1" applyAlignment="1">
      <alignment vertical="center"/>
    </xf>
    <xf numFmtId="166" fontId="14" fillId="0" borderId="40" xfId="0" applyNumberFormat="1" applyFont="1" applyBorder="1" applyAlignment="1">
      <alignment vertical="center"/>
    </xf>
    <xf numFmtId="165" fontId="1" fillId="0" borderId="115" xfId="0" applyNumberFormat="1" applyFont="1" applyBorder="1" applyAlignment="1">
      <alignment vertical="center"/>
    </xf>
    <xf numFmtId="0" fontId="7" fillId="0" borderId="34" xfId="0" applyFont="1" applyBorder="1" applyAlignment="1">
      <alignment horizontal="right" vertical="center"/>
    </xf>
    <xf numFmtId="166" fontId="17" fillId="0" borderId="12" xfId="0" applyNumberFormat="1" applyFont="1" applyBorder="1" applyAlignment="1">
      <alignment horizontal="center" vertical="center" wrapText="1"/>
    </xf>
    <xf numFmtId="190" fontId="20" fillId="2" borderId="27" xfId="0" applyNumberFormat="1" applyFont="1" applyFill="1" applyBorder="1" applyAlignment="1" applyProtection="1">
      <alignment vertical="center"/>
      <protection locked="0"/>
    </xf>
    <xf numFmtId="190" fontId="20" fillId="2" borderId="29" xfId="0" applyNumberFormat="1" applyFont="1" applyFill="1" applyBorder="1" applyAlignment="1" applyProtection="1">
      <alignment vertical="center"/>
      <protection locked="0"/>
    </xf>
    <xf numFmtId="49" fontId="20" fillId="2" borderId="28" xfId="0" applyNumberFormat="1" applyFont="1" applyFill="1" applyBorder="1" applyAlignment="1" applyProtection="1">
      <alignment vertical="center"/>
      <protection locked="0"/>
    </xf>
    <xf numFmtId="49" fontId="20" fillId="2" borderId="17" xfId="0" applyNumberFormat="1" applyFont="1" applyFill="1" applyBorder="1" applyAlignment="1" applyProtection="1">
      <alignment vertical="center"/>
      <protection locked="0"/>
    </xf>
    <xf numFmtId="49" fontId="20" fillId="2" borderId="16" xfId="0" applyNumberFormat="1" applyFont="1" applyFill="1" applyBorder="1" applyAlignment="1" applyProtection="1">
      <alignment vertical="center"/>
      <protection locked="0"/>
    </xf>
    <xf numFmtId="49" fontId="20" fillId="2" borderId="29" xfId="0" applyNumberFormat="1" applyFont="1" applyFill="1" applyBorder="1" applyAlignment="1" applyProtection="1">
      <alignment vertical="center"/>
      <protection locked="0"/>
    </xf>
    <xf numFmtId="164" fontId="20" fillId="2" borderId="28" xfId="0" applyNumberFormat="1" applyFont="1" applyFill="1" applyBorder="1" applyAlignment="1" applyProtection="1">
      <alignment vertical="center"/>
      <protection locked="0"/>
    </xf>
    <xf numFmtId="3" fontId="20" fillId="2" borderId="28" xfId="0" applyNumberFormat="1" applyFont="1" applyFill="1" applyBorder="1" applyAlignment="1" applyProtection="1">
      <alignment vertical="center"/>
      <protection locked="0"/>
    </xf>
    <xf numFmtId="165" fontId="1" fillId="0" borderId="47" xfId="1" applyFont="1" applyBorder="1" applyAlignment="1">
      <alignment vertical="center"/>
    </xf>
    <xf numFmtId="190" fontId="20" fillId="2" borderId="30" xfId="0" applyNumberFormat="1" applyFont="1" applyFill="1" applyBorder="1" applyAlignment="1" applyProtection="1">
      <alignment vertical="center"/>
      <protection locked="0"/>
    </xf>
    <xf numFmtId="190" fontId="20" fillId="2" borderId="33" xfId="0" applyNumberFormat="1" applyFont="1" applyFill="1" applyBorder="1" applyAlignment="1" applyProtection="1">
      <alignment vertical="center"/>
      <protection locked="0"/>
    </xf>
    <xf numFmtId="49" fontId="20" fillId="2" borderId="31" xfId="0" applyNumberFormat="1" applyFont="1" applyFill="1" applyBorder="1" applyAlignment="1" applyProtection="1">
      <alignment vertical="center"/>
      <protection locked="0"/>
    </xf>
    <xf numFmtId="49" fontId="20" fillId="2" borderId="32" xfId="0" applyNumberFormat="1" applyFont="1" applyFill="1" applyBorder="1" applyAlignment="1" applyProtection="1">
      <alignment vertical="center"/>
      <protection locked="0"/>
    </xf>
    <xf numFmtId="49" fontId="20" fillId="2" borderId="40" xfId="0" applyNumberFormat="1" applyFont="1" applyFill="1" applyBorder="1" applyAlignment="1" applyProtection="1">
      <alignment vertical="center"/>
      <protection locked="0"/>
    </xf>
    <xf numFmtId="49" fontId="20" fillId="2" borderId="33" xfId="0" applyNumberFormat="1" applyFont="1" applyFill="1" applyBorder="1" applyAlignment="1" applyProtection="1">
      <alignment vertical="center"/>
      <protection locked="0"/>
    </xf>
    <xf numFmtId="164" fontId="20" fillId="2" borderId="31" xfId="0" applyNumberFormat="1" applyFont="1" applyFill="1" applyBorder="1" applyAlignment="1" applyProtection="1">
      <alignment vertical="center"/>
      <protection locked="0"/>
    </xf>
    <xf numFmtId="3" fontId="20" fillId="2" borderId="31" xfId="0" applyNumberFormat="1" applyFont="1" applyFill="1" applyBorder="1" applyAlignment="1" applyProtection="1">
      <alignment vertical="center"/>
      <protection locked="0"/>
    </xf>
    <xf numFmtId="190" fontId="20" fillId="2" borderId="34" xfId="0" applyNumberFormat="1" applyFont="1" applyFill="1" applyBorder="1" applyAlignment="1" applyProtection="1">
      <alignment vertical="center"/>
      <protection locked="0"/>
    </xf>
    <xf numFmtId="190" fontId="20" fillId="2" borderId="36" xfId="0" applyNumberFormat="1" applyFont="1" applyFill="1" applyBorder="1" applyAlignment="1" applyProtection="1">
      <alignment vertical="center"/>
      <protection locked="0"/>
    </xf>
    <xf numFmtId="49" fontId="20" fillId="2" borderId="6" xfId="0" applyNumberFormat="1" applyFont="1" applyFill="1" applyBorder="1" applyAlignment="1" applyProtection="1">
      <alignment vertical="center"/>
      <protection locked="0"/>
    </xf>
    <xf numFmtId="49" fontId="20" fillId="2" borderId="35" xfId="0" applyNumberFormat="1" applyFont="1" applyFill="1" applyBorder="1" applyAlignment="1" applyProtection="1">
      <alignment vertical="center"/>
      <protection locked="0"/>
    </xf>
    <xf numFmtId="49" fontId="20" fillId="2" borderId="10" xfId="0" applyNumberFormat="1" applyFont="1" applyFill="1" applyBorder="1" applyAlignment="1" applyProtection="1">
      <alignment vertical="center"/>
      <protection locked="0"/>
    </xf>
    <xf numFmtId="49" fontId="20" fillId="2" borderId="36" xfId="0" applyNumberFormat="1" applyFont="1" applyFill="1" applyBorder="1" applyAlignment="1" applyProtection="1">
      <alignment vertical="center"/>
      <protection locked="0"/>
    </xf>
    <xf numFmtId="164" fontId="20" fillId="2" borderId="6" xfId="0" applyNumberFormat="1" applyFont="1" applyFill="1" applyBorder="1" applyAlignment="1" applyProtection="1">
      <alignment vertical="center"/>
      <protection locked="0"/>
    </xf>
    <xf numFmtId="3" fontId="20" fillId="2" borderId="6" xfId="0" applyNumberFormat="1" applyFont="1" applyFill="1" applyBorder="1" applyAlignment="1" applyProtection="1">
      <alignment vertical="center"/>
      <protection locked="0"/>
    </xf>
    <xf numFmtId="165" fontId="7" fillId="0" borderId="79" xfId="1" applyFont="1" applyBorder="1" applyAlignment="1">
      <alignment vertical="center"/>
    </xf>
    <xf numFmtId="165" fontId="52" fillId="2" borderId="116" xfId="1" applyFont="1" applyFill="1" applyBorder="1" applyAlignment="1">
      <alignment vertical="center"/>
    </xf>
    <xf numFmtId="165" fontId="52" fillId="0" borderId="4" xfId="1" applyFont="1" applyFill="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165" fontId="1" fillId="0" borderId="13" xfId="0" applyNumberFormat="1" applyFont="1" applyBorder="1" applyAlignment="1">
      <alignment vertical="center"/>
    </xf>
    <xf numFmtId="0" fontId="17" fillId="0" borderId="12" xfId="0" applyFont="1" applyBorder="1" applyAlignment="1">
      <alignment horizontal="centerContinuous" vertical="center"/>
    </xf>
    <xf numFmtId="0" fontId="0" fillId="12" borderId="12" xfId="0" applyFill="1" applyBorder="1"/>
    <xf numFmtId="2" fontId="20" fillId="2" borderId="28" xfId="0" applyNumberFormat="1" applyFont="1" applyFill="1" applyBorder="1" applyAlignment="1" applyProtection="1">
      <alignment vertical="center"/>
      <protection locked="0"/>
    </xf>
    <xf numFmtId="165" fontId="20" fillId="2" borderId="53" xfId="1" applyFont="1" applyFill="1" applyBorder="1" applyAlignment="1" applyProtection="1">
      <alignment vertical="center"/>
      <protection locked="0"/>
    </xf>
    <xf numFmtId="2" fontId="20" fillId="2" borderId="117" xfId="0" applyNumberFormat="1" applyFont="1" applyFill="1" applyBorder="1" applyAlignment="1" applyProtection="1">
      <alignment vertical="center"/>
      <protection locked="0"/>
    </xf>
    <xf numFmtId="2" fontId="20" fillId="2" borderId="31" xfId="0" applyNumberFormat="1" applyFont="1" applyFill="1" applyBorder="1" applyAlignment="1" applyProtection="1">
      <alignment vertical="center"/>
      <protection locked="0"/>
    </xf>
    <xf numFmtId="2" fontId="20" fillId="2" borderId="6" xfId="0" applyNumberFormat="1" applyFont="1" applyFill="1" applyBorder="1" applyAlignment="1" applyProtection="1">
      <alignment vertical="center"/>
      <protection locked="0"/>
    </xf>
    <xf numFmtId="165" fontId="20" fillId="2" borderId="3" xfId="1" applyFont="1" applyFill="1" applyBorder="1" applyAlignment="1" applyProtection="1">
      <alignment vertical="center"/>
      <protection locked="0"/>
    </xf>
    <xf numFmtId="165" fontId="1" fillId="0" borderId="22" xfId="0" applyNumberFormat="1" applyFont="1" applyBorder="1" applyAlignment="1">
      <alignment vertical="center"/>
    </xf>
    <xf numFmtId="0" fontId="0" fillId="0" borderId="54" xfId="0" applyBorder="1"/>
    <xf numFmtId="0" fontId="17" fillId="0" borderId="12" xfId="0" applyFont="1" applyBorder="1" applyAlignment="1">
      <alignment horizontal="center" vertical="center"/>
    </xf>
    <xf numFmtId="0" fontId="7" fillId="0" borderId="12" xfId="0" applyFont="1" applyBorder="1" applyAlignment="1">
      <alignment horizontal="center" vertical="center" wrapText="1"/>
    </xf>
    <xf numFmtId="0" fontId="17" fillId="2" borderId="40" xfId="0" applyFont="1" applyFill="1" applyBorder="1" applyAlignment="1">
      <alignment horizontal="left" vertical="center"/>
    </xf>
    <xf numFmtId="14" fontId="20" fillId="2" borderId="216" xfId="0" applyNumberFormat="1" applyFont="1" applyFill="1" applyBorder="1" applyAlignment="1" applyProtection="1">
      <alignment vertical="center"/>
      <protection locked="0"/>
    </xf>
    <xf numFmtId="0" fontId="20" fillId="2" borderId="216" xfId="0" applyFont="1" applyFill="1" applyBorder="1" applyAlignment="1" applyProtection="1">
      <alignment vertical="center"/>
      <protection locked="0"/>
    </xf>
    <xf numFmtId="0" fontId="20" fillId="2" borderId="217" xfId="0" applyFont="1" applyFill="1" applyBorder="1" applyAlignment="1" applyProtection="1">
      <alignment vertical="center"/>
      <protection locked="0"/>
    </xf>
    <xf numFmtId="165" fontId="7" fillId="0" borderId="0" xfId="1" applyFont="1" applyBorder="1" applyAlignment="1">
      <alignment horizontal="right" vertical="center"/>
    </xf>
    <xf numFmtId="165" fontId="6" fillId="0" borderId="101" xfId="1" applyFont="1" applyBorder="1" applyAlignment="1" applyProtection="1">
      <alignment vertical="center"/>
    </xf>
    <xf numFmtId="165" fontId="52" fillId="0" borderId="119" xfId="1" applyFont="1" applyFill="1" applyBorder="1" applyAlignment="1">
      <alignment vertical="center"/>
    </xf>
    <xf numFmtId="0" fontId="0" fillId="0" borderId="8" xfId="0" applyBorder="1"/>
    <xf numFmtId="0" fontId="7" fillId="0" borderId="4" xfId="0" applyFont="1" applyFill="1" applyBorder="1" applyAlignment="1">
      <alignment horizontal="right" vertical="center"/>
    </xf>
    <xf numFmtId="0" fontId="0" fillId="0" borderId="0" xfId="0" applyAlignment="1">
      <alignment wrapText="1"/>
    </xf>
    <xf numFmtId="2" fontId="112" fillId="0" borderId="180" xfId="0" applyNumberFormat="1" applyFont="1" applyBorder="1"/>
    <xf numFmtId="2" fontId="112" fillId="0" borderId="182" xfId="0" applyNumberFormat="1" applyFont="1" applyBorder="1"/>
    <xf numFmtId="2" fontId="112" fillId="0" borderId="214" xfId="0" applyNumberFormat="1" applyFont="1" applyBorder="1"/>
    <xf numFmtId="0" fontId="17" fillId="0" borderId="55" xfId="0" applyFont="1" applyBorder="1" applyAlignment="1">
      <alignment horizontal="center" vertical="center"/>
    </xf>
    <xf numFmtId="0" fontId="53" fillId="0" borderId="5" xfId="0" applyFont="1" applyBorder="1" applyAlignment="1">
      <alignment horizontal="right" vertical="center"/>
    </xf>
    <xf numFmtId="0" fontId="16" fillId="0" borderId="5" xfId="0" applyFont="1" applyBorder="1" applyAlignment="1">
      <alignment vertical="center"/>
    </xf>
    <xf numFmtId="0" fontId="16" fillId="0" borderId="2" xfId="0" applyFont="1" applyBorder="1" applyAlignment="1">
      <alignment horizontal="left" vertical="center"/>
    </xf>
    <xf numFmtId="0" fontId="16" fillId="0" borderId="74"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29" fillId="0" borderId="21" xfId="0" applyFont="1" applyBorder="1" applyAlignment="1">
      <alignment vertical="center"/>
    </xf>
    <xf numFmtId="0" fontId="16" fillId="0" borderId="54" xfId="0" applyFont="1" applyBorder="1" applyAlignment="1">
      <alignment vertical="center"/>
    </xf>
    <xf numFmtId="166" fontId="16" fillId="0" borderId="54" xfId="0" applyNumberFormat="1" applyFont="1" applyBorder="1" applyAlignment="1">
      <alignment vertical="center"/>
    </xf>
    <xf numFmtId="165" fontId="1" fillId="0" borderId="55" xfId="0" applyNumberFormat="1" applyFont="1" applyBorder="1" applyAlignment="1">
      <alignment vertical="center"/>
    </xf>
    <xf numFmtId="14" fontId="22" fillId="2" borderId="27" xfId="0" applyNumberFormat="1" applyFont="1" applyFill="1" applyBorder="1" applyProtection="1">
      <protection locked="0"/>
    </xf>
    <xf numFmtId="14" fontId="22" fillId="2" borderId="16" xfId="0" applyNumberFormat="1" applyFont="1" applyFill="1" applyBorder="1" applyProtection="1">
      <protection locked="0"/>
    </xf>
    <xf numFmtId="0" fontId="22" fillId="2" borderId="52" xfId="0" applyFont="1" applyFill="1" applyBorder="1" applyProtection="1">
      <protection locked="0"/>
    </xf>
    <xf numFmtId="0" fontId="22" fillId="2" borderId="28" xfId="0" applyFont="1" applyFill="1" applyBorder="1" applyProtection="1">
      <protection locked="0"/>
    </xf>
    <xf numFmtId="166" fontId="22" fillId="2" borderId="28" xfId="0" applyNumberFormat="1" applyFont="1" applyFill="1" applyBorder="1" applyProtection="1">
      <protection locked="0"/>
    </xf>
    <xf numFmtId="0" fontId="17" fillId="0" borderId="8" xfId="0" applyFont="1" applyBorder="1" applyAlignment="1">
      <alignment horizontal="right" vertical="center"/>
    </xf>
    <xf numFmtId="166" fontId="7" fillId="0" borderId="4" xfId="0" applyNumberFormat="1" applyFont="1" applyBorder="1" applyAlignment="1">
      <alignment horizontal="right" vertical="center"/>
    </xf>
    <xf numFmtId="0" fontId="0" fillId="0" borderId="2" xfId="0" applyBorder="1"/>
    <xf numFmtId="0" fontId="17" fillId="0" borderId="21" xfId="0" applyFont="1" applyBorder="1" applyAlignment="1">
      <alignment vertical="center"/>
    </xf>
    <xf numFmtId="173" fontId="16" fillId="0" borderId="55" xfId="0" applyNumberFormat="1" applyFont="1" applyBorder="1" applyAlignment="1">
      <alignment vertical="center"/>
    </xf>
    <xf numFmtId="166" fontId="22" fillId="2" borderId="218" xfId="0" applyNumberFormat="1" applyFont="1" applyFill="1" applyBorder="1" applyAlignment="1" applyProtection="1">
      <alignment vertical="center"/>
      <protection locked="0"/>
    </xf>
    <xf numFmtId="166" fontId="17" fillId="2" borderId="50" xfId="0" applyNumberFormat="1" applyFont="1" applyFill="1" applyBorder="1" applyAlignment="1">
      <alignment horizontal="right" vertical="center"/>
    </xf>
    <xf numFmtId="0" fontId="17" fillId="0" borderId="74" xfId="0" applyFont="1" applyBorder="1" applyAlignment="1">
      <alignment horizontal="right" vertical="center"/>
    </xf>
    <xf numFmtId="0" fontId="17" fillId="0" borderId="68" xfId="0" applyFont="1" applyBorder="1" applyAlignment="1">
      <alignment horizontal="right" vertical="center"/>
    </xf>
    <xf numFmtId="166" fontId="17" fillId="0" borderId="68" xfId="0" applyNumberFormat="1"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23" xfId="0" applyFont="1" applyBorder="1" applyAlignment="1">
      <alignment vertical="center"/>
    </xf>
    <xf numFmtId="165" fontId="1" fillId="0" borderId="39" xfId="0" applyNumberFormat="1" applyFont="1" applyBorder="1" applyAlignment="1">
      <alignment vertical="center"/>
    </xf>
    <xf numFmtId="165" fontId="7" fillId="0" borderId="112" xfId="0" applyNumberFormat="1" applyFont="1" applyBorder="1" applyAlignment="1">
      <alignment vertical="center"/>
    </xf>
    <xf numFmtId="165" fontId="113" fillId="3" borderId="116" xfId="1" applyFont="1" applyFill="1" applyBorder="1" applyAlignment="1">
      <alignment vertical="center"/>
    </xf>
    <xf numFmtId="165" fontId="113" fillId="3" borderId="26" xfId="1" applyFont="1" applyFill="1" applyBorder="1" applyAlignment="1">
      <alignment vertical="center"/>
    </xf>
    <xf numFmtId="165" fontId="1" fillId="0" borderId="69" xfId="1" applyFont="1" applyBorder="1" applyAlignment="1">
      <alignment vertical="center"/>
    </xf>
    <xf numFmtId="165" fontId="24" fillId="3" borderId="26" xfId="1" applyFont="1" applyFill="1" applyBorder="1" applyAlignment="1">
      <alignment vertical="center"/>
    </xf>
    <xf numFmtId="185" fontId="34" fillId="0" borderId="10" xfId="0" applyNumberFormat="1" applyFont="1" applyBorder="1" applyAlignment="1">
      <alignment horizontal="left" vertical="center"/>
    </xf>
    <xf numFmtId="185" fontId="42" fillId="0" borderId="4" xfId="0" applyNumberFormat="1" applyFont="1" applyBorder="1" applyAlignment="1">
      <alignment horizontal="left" vertical="center"/>
    </xf>
    <xf numFmtId="0" fontId="0" fillId="0" borderId="38" xfId="0" applyBorder="1" applyAlignment="1">
      <alignment horizontal="center" vertical="center" wrapText="1"/>
    </xf>
    <xf numFmtId="0" fontId="14" fillId="0" borderId="4" xfId="0" applyFont="1" applyBorder="1" applyAlignment="1">
      <alignment horizontal="right" vertical="center"/>
    </xf>
    <xf numFmtId="14" fontId="20" fillId="2" borderId="27" xfId="0" applyNumberFormat="1" applyFont="1" applyFill="1" applyBorder="1" applyProtection="1">
      <protection locked="0"/>
    </xf>
    <xf numFmtId="14" fontId="20" fillId="2" borderId="29" xfId="0" applyNumberFormat="1" applyFont="1" applyFill="1" applyBorder="1" applyProtection="1">
      <protection locked="0"/>
    </xf>
    <xf numFmtId="0" fontId="20" fillId="2" borderId="28" xfId="0" applyFont="1" applyFill="1" applyBorder="1" applyProtection="1">
      <protection locked="0"/>
    </xf>
    <xf numFmtId="0" fontId="20" fillId="2" borderId="17" xfId="0" applyFont="1" applyFill="1" applyBorder="1" applyProtection="1">
      <protection locked="0"/>
    </xf>
    <xf numFmtId="0" fontId="20" fillId="2" borderId="29" xfId="0" applyFont="1" applyFill="1" applyBorder="1" applyProtection="1">
      <protection locked="0"/>
    </xf>
    <xf numFmtId="0" fontId="20" fillId="2" borderId="41"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9" fontId="20" fillId="2" borderId="44" xfId="16" applyFont="1" applyFill="1" applyBorder="1" applyAlignment="1" applyProtection="1">
      <alignment vertical="center"/>
      <protection locked="0"/>
    </xf>
    <xf numFmtId="14" fontId="20" fillId="2" borderId="41" xfId="0" applyNumberFormat="1" applyFont="1" applyFill="1" applyBorder="1" applyProtection="1">
      <protection locked="0"/>
    </xf>
    <xf numFmtId="14" fontId="20" fillId="2" borderId="0" xfId="0" applyNumberFormat="1" applyFont="1" applyFill="1" applyBorder="1" applyProtection="1">
      <protection locked="0"/>
    </xf>
    <xf numFmtId="0" fontId="20" fillId="2" borderId="42" xfId="0" applyFont="1" applyFill="1" applyBorder="1" applyProtection="1">
      <protection locked="0"/>
    </xf>
    <xf numFmtId="0" fontId="20" fillId="2" borderId="43" xfId="0" applyFont="1" applyFill="1" applyBorder="1" applyProtection="1">
      <protection locked="0"/>
    </xf>
    <xf numFmtId="188" fontId="20" fillId="2" borderId="44" xfId="0" applyNumberFormat="1" applyFont="1" applyFill="1" applyBorder="1" applyProtection="1">
      <protection locked="0"/>
    </xf>
    <xf numFmtId="0" fontId="20" fillId="2" borderId="44" xfId="0" applyFont="1" applyFill="1" applyBorder="1" applyProtection="1">
      <protection locked="0"/>
    </xf>
    <xf numFmtId="166" fontId="20" fillId="2" borderId="44" xfId="1" applyNumberFormat="1" applyFont="1" applyFill="1" applyBorder="1" applyProtection="1">
      <protection locked="0"/>
    </xf>
    <xf numFmtId="188" fontId="20" fillId="2" borderId="31" xfId="0" applyNumberFormat="1" applyFont="1" applyFill="1" applyBorder="1" applyAlignment="1" applyProtection="1">
      <alignment vertical="center"/>
      <protection locked="0"/>
    </xf>
    <xf numFmtId="0" fontId="20" fillId="2" borderId="219" xfId="0" applyFont="1" applyFill="1" applyBorder="1" applyAlignment="1" applyProtection="1">
      <alignment vertical="center"/>
      <protection locked="0"/>
    </xf>
    <xf numFmtId="0" fontId="20" fillId="2" borderId="100" xfId="0" applyFont="1" applyFill="1" applyBorder="1" applyAlignment="1" applyProtection="1">
      <alignment vertical="center"/>
      <protection locked="0"/>
    </xf>
    <xf numFmtId="0" fontId="20" fillId="2" borderId="220" xfId="0" applyFont="1" applyFill="1" applyBorder="1" applyAlignment="1" applyProtection="1">
      <alignment vertical="center"/>
      <protection locked="0"/>
    </xf>
    <xf numFmtId="0" fontId="20" fillId="2" borderId="221" xfId="0" applyFont="1" applyFill="1" applyBorder="1" applyAlignment="1" applyProtection="1">
      <alignment vertical="center"/>
      <protection locked="0"/>
    </xf>
    <xf numFmtId="188" fontId="20" fillId="2" borderId="218" xfId="0" applyNumberFormat="1" applyFont="1" applyFill="1" applyBorder="1" applyAlignment="1" applyProtection="1">
      <alignment vertical="center"/>
      <protection locked="0"/>
    </xf>
    <xf numFmtId="0" fontId="20" fillId="2" borderId="218" xfId="0" applyFont="1" applyFill="1" applyBorder="1" applyAlignment="1" applyProtection="1">
      <alignment vertical="center"/>
      <protection locked="0"/>
    </xf>
    <xf numFmtId="0" fontId="7" fillId="0" borderId="16" xfId="0" applyFont="1" applyBorder="1" applyAlignment="1">
      <alignment horizontal="left" vertical="center"/>
    </xf>
    <xf numFmtId="0" fontId="17" fillId="0" borderId="37" xfId="0" applyFont="1" applyBorder="1" applyAlignment="1">
      <alignment horizontal="center" vertical="center"/>
    </xf>
    <xf numFmtId="0" fontId="0" fillId="0" borderId="38" xfId="0" applyBorder="1" applyAlignment="1">
      <alignment horizontal="center" vertical="center"/>
    </xf>
    <xf numFmtId="0" fontId="5" fillId="2" borderId="43" xfId="0" applyFont="1" applyFill="1" applyBorder="1" applyAlignment="1" applyProtection="1">
      <alignment vertical="center"/>
    </xf>
    <xf numFmtId="0" fontId="20" fillId="0" borderId="16" xfId="0" applyFont="1" applyBorder="1" applyAlignment="1" applyProtection="1">
      <alignment vertical="center"/>
      <protection locked="0"/>
    </xf>
    <xf numFmtId="0" fontId="7" fillId="0" borderId="222" xfId="0" applyFont="1" applyBorder="1" applyAlignment="1">
      <alignment horizontal="right" vertical="center"/>
    </xf>
    <xf numFmtId="0" fontId="7" fillId="0" borderId="223" xfId="0" applyFont="1" applyBorder="1" applyAlignment="1">
      <alignment horizontal="right" vertical="center"/>
    </xf>
    <xf numFmtId="0" fontId="7" fillId="0" borderId="185" xfId="0" applyFont="1" applyBorder="1" applyAlignment="1">
      <alignment horizontal="right" vertical="center"/>
    </xf>
    <xf numFmtId="0" fontId="7" fillId="0" borderId="6" xfId="0" applyFont="1" applyBorder="1" applyAlignment="1">
      <alignment horizontal="right" vertical="center"/>
    </xf>
    <xf numFmtId="0" fontId="7" fillId="0" borderId="169" xfId="0" applyFont="1" applyBorder="1" applyAlignment="1">
      <alignment horizontal="right" vertical="center"/>
    </xf>
    <xf numFmtId="165" fontId="7" fillId="0" borderId="22" xfId="0" applyNumberFormat="1" applyFont="1" applyBorder="1" applyAlignment="1">
      <alignment vertical="center"/>
    </xf>
    <xf numFmtId="165" fontId="52" fillId="3" borderId="120" xfId="1" applyFont="1" applyFill="1" applyBorder="1" applyAlignment="1">
      <alignment vertical="center"/>
    </xf>
    <xf numFmtId="165" fontId="1" fillId="0" borderId="53" xfId="1" applyFont="1" applyFill="1" applyBorder="1" applyAlignment="1">
      <alignment vertical="center"/>
    </xf>
    <xf numFmtId="165" fontId="1" fillId="0" borderId="48" xfId="1" applyFont="1" applyFill="1" applyBorder="1" applyAlignment="1">
      <alignment vertical="center"/>
    </xf>
    <xf numFmtId="165" fontId="1" fillId="0" borderId="3" xfId="1" applyFont="1" applyFill="1" applyBorder="1" applyAlignment="1">
      <alignment vertical="center"/>
    </xf>
    <xf numFmtId="165" fontId="52" fillId="12" borderId="120" xfId="1" applyFont="1" applyFill="1" applyBorder="1" applyAlignment="1">
      <alignment vertical="center"/>
    </xf>
    <xf numFmtId="165" fontId="5" fillId="0" borderId="118" xfId="1" applyFont="1" applyBorder="1" applyAlignment="1" applyProtection="1">
      <alignment vertical="center"/>
    </xf>
    <xf numFmtId="165" fontId="5" fillId="0" borderId="48" xfId="1" applyFont="1" applyBorder="1" applyAlignment="1" applyProtection="1">
      <alignment vertical="center"/>
    </xf>
    <xf numFmtId="165" fontId="5" fillId="0" borderId="51" xfId="1" applyFont="1" applyBorder="1" applyAlignment="1" applyProtection="1">
      <alignment vertical="center"/>
    </xf>
    <xf numFmtId="165" fontId="7" fillId="0" borderId="114" xfId="1" applyFont="1" applyBorder="1" applyAlignment="1" applyProtection="1">
      <alignment vertical="center"/>
    </xf>
    <xf numFmtId="165" fontId="52" fillId="0" borderId="5" xfId="1" applyFont="1" applyFill="1" applyBorder="1" applyAlignment="1">
      <alignment vertical="center"/>
    </xf>
    <xf numFmtId="165" fontId="5" fillId="0" borderId="53" xfId="1" applyFont="1" applyBorder="1" applyAlignment="1" applyProtection="1">
      <alignment vertical="center"/>
    </xf>
    <xf numFmtId="185" fontId="17" fillId="2" borderId="12" xfId="0" applyNumberFormat="1" applyFont="1" applyFill="1" applyBorder="1" applyAlignment="1" applyProtection="1">
      <alignment horizontal="left" vertical="center"/>
      <protection locked="0"/>
    </xf>
    <xf numFmtId="176" fontId="17" fillId="2" borderId="12" xfId="0" applyNumberFormat="1" applyFont="1" applyFill="1" applyBorder="1" applyAlignment="1" applyProtection="1">
      <alignment horizontal="center" vertical="center"/>
      <protection locked="0"/>
    </xf>
    <xf numFmtId="0" fontId="1" fillId="0" borderId="2" xfId="0" applyFont="1" applyBorder="1" applyAlignment="1">
      <alignment horizontal="left" vertical="center"/>
    </xf>
    <xf numFmtId="170" fontId="5" fillId="0" borderId="14" xfId="0" applyNumberFormat="1" applyFont="1" applyFill="1" applyBorder="1" applyAlignment="1" applyProtection="1">
      <alignment vertical="center"/>
    </xf>
    <xf numFmtId="165" fontId="25" fillId="0" borderId="96" xfId="0" applyNumberFormat="1" applyFont="1" applyFill="1" applyBorder="1" applyAlignment="1" applyProtection="1">
      <alignment vertical="center"/>
    </xf>
    <xf numFmtId="0" fontId="75" fillId="0" borderId="18" xfId="0" applyFont="1" applyBorder="1" applyAlignment="1">
      <alignment horizontal="left" vertical="center"/>
    </xf>
    <xf numFmtId="185" fontId="34" fillId="0" borderId="12" xfId="0" applyNumberFormat="1" applyFont="1" applyBorder="1" applyAlignment="1">
      <alignment horizontal="left" vertical="center"/>
    </xf>
    <xf numFmtId="180" fontId="34" fillId="0" borderId="12" xfId="0" applyNumberFormat="1" applyFont="1" applyBorder="1" applyAlignment="1">
      <alignment horizontal="left" vertical="center"/>
    </xf>
    <xf numFmtId="0" fontId="17" fillId="0" borderId="0" xfId="0" applyFont="1" applyAlignment="1">
      <alignment horizontal="right" vertical="center"/>
    </xf>
    <xf numFmtId="49" fontId="1" fillId="0" borderId="0"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1" fillId="0" borderId="124" xfId="0" applyNumberFormat="1" applyFont="1" applyBorder="1" applyAlignment="1">
      <alignment horizontal="left" vertical="top" wrapText="1"/>
    </xf>
    <xf numFmtId="49" fontId="1" fillId="0" borderId="176" xfId="0" applyNumberFormat="1" applyFont="1" applyBorder="1" applyAlignment="1">
      <alignment horizontal="left" vertical="top" wrapText="1"/>
    </xf>
    <xf numFmtId="0" fontId="1" fillId="0" borderId="130" xfId="0" applyFont="1" applyBorder="1" applyAlignment="1"/>
    <xf numFmtId="0" fontId="1" fillId="0" borderId="177" xfId="0" applyFont="1" applyBorder="1" applyAlignment="1"/>
    <xf numFmtId="0" fontId="115" fillId="0" borderId="0" xfId="0" applyFont="1" applyAlignment="1">
      <alignment horizontal="center" vertical="center" wrapText="1"/>
    </xf>
    <xf numFmtId="4" fontId="1" fillId="0" borderId="12" xfId="0" applyNumberFormat="1" applyFont="1" applyBorder="1"/>
    <xf numFmtId="166" fontId="69" fillId="0" borderId="20" xfId="14" applyNumberFormat="1" applyFont="1" applyFill="1" applyBorder="1" applyAlignment="1" applyProtection="1">
      <alignment vertical="center"/>
    </xf>
    <xf numFmtId="165" fontId="0" fillId="0" borderId="0" xfId="0" applyNumberFormat="1"/>
    <xf numFmtId="4" fontId="5" fillId="12" borderId="77" xfId="0" applyNumberFormat="1" applyFont="1" applyFill="1" applyBorder="1" applyAlignment="1" applyProtection="1">
      <alignment vertical="center"/>
    </xf>
    <xf numFmtId="185" fontId="42" fillId="0" borderId="10" xfId="0" applyNumberFormat="1" applyFont="1" applyBorder="1" applyAlignment="1">
      <alignment horizontal="left" vertical="center"/>
    </xf>
    <xf numFmtId="180" fontId="42" fillId="0" borderId="4" xfId="0" applyNumberFormat="1" applyFont="1" applyBorder="1" applyAlignment="1">
      <alignment horizontal="left" vertical="center"/>
    </xf>
    <xf numFmtId="165" fontId="24" fillId="12" borderId="120" xfId="1" applyFont="1" applyFill="1" applyBorder="1" applyAlignment="1">
      <alignment vertical="center"/>
    </xf>
    <xf numFmtId="165" fontId="24" fillId="0" borderId="65" xfId="1" applyFont="1" applyFill="1" applyBorder="1" applyAlignment="1">
      <alignment vertical="center"/>
    </xf>
    <xf numFmtId="165" fontId="24" fillId="3" borderId="79" xfId="1" applyFont="1" applyFill="1" applyBorder="1" applyAlignment="1">
      <alignment vertical="center"/>
    </xf>
    <xf numFmtId="0" fontId="24" fillId="0" borderId="29" xfId="0" applyFont="1" applyBorder="1" applyAlignment="1">
      <alignment horizontal="right" vertical="center"/>
    </xf>
    <xf numFmtId="0" fontId="17" fillId="0" borderId="68" xfId="0" applyFont="1" applyBorder="1" applyAlignment="1" applyProtection="1">
      <alignment horizontal="left" vertical="center"/>
    </xf>
    <xf numFmtId="0" fontId="17" fillId="0" borderId="54" xfId="0" applyFont="1" applyBorder="1" applyAlignment="1">
      <alignment horizontal="right" vertical="center"/>
    </xf>
    <xf numFmtId="173" fontId="7" fillId="0" borderId="105" xfId="0" applyNumberFormat="1" applyFont="1" applyBorder="1"/>
    <xf numFmtId="173" fontId="7" fillId="0" borderId="22" xfId="0" applyNumberFormat="1" applyFont="1" applyBorder="1"/>
    <xf numFmtId="0" fontId="14" fillId="0" borderId="185" xfId="0" applyFont="1" applyBorder="1" applyAlignment="1">
      <alignment vertical="center"/>
    </xf>
    <xf numFmtId="0" fontId="16" fillId="0" borderId="185" xfId="0" applyFont="1" applyBorder="1" applyAlignment="1">
      <alignment vertical="center"/>
    </xf>
    <xf numFmtId="0" fontId="17" fillId="0" borderId="193" xfId="0" applyFont="1" applyBorder="1" applyAlignment="1">
      <alignment horizontal="right" vertical="center"/>
    </xf>
    <xf numFmtId="0" fontId="1" fillId="0" borderId="185" xfId="0" applyFont="1" applyBorder="1" applyAlignment="1">
      <alignment vertical="center"/>
    </xf>
    <xf numFmtId="0" fontId="116" fillId="0" borderId="18" xfId="0" applyFont="1" applyBorder="1"/>
    <xf numFmtId="0" fontId="113" fillId="0" borderId="223" xfId="0" applyFont="1" applyBorder="1" applyAlignment="1">
      <alignmen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0" fontId="71" fillId="0" borderId="12" xfId="0" applyFont="1" applyFill="1" applyBorder="1" applyAlignment="1" applyProtection="1">
      <alignment horizontal="center" vertical="center" wrapText="1"/>
    </xf>
    <xf numFmtId="166" fontId="5" fillId="0" borderId="12" xfId="0" applyNumberFormat="1" applyFont="1" applyFill="1" applyBorder="1" applyAlignment="1" applyProtection="1">
      <alignment horizontal="right" vertical="center"/>
    </xf>
    <xf numFmtId="0" fontId="71" fillId="0" borderId="78" xfId="0" applyFont="1" applyFill="1" applyBorder="1" applyAlignment="1" applyProtection="1">
      <alignment horizontal="center" vertical="center" wrapText="1"/>
    </xf>
    <xf numFmtId="166" fontId="20" fillId="2" borderId="77" xfId="0" applyNumberFormat="1" applyFont="1" applyFill="1" applyBorder="1" applyAlignment="1" applyProtection="1">
      <alignment vertical="center"/>
      <protection locked="0"/>
    </xf>
    <xf numFmtId="166" fontId="20" fillId="2" borderId="103"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20" fillId="2" borderId="40" xfId="0" applyFont="1" applyFill="1" applyBorder="1" applyAlignment="1" applyProtection="1">
      <alignment vertical="center"/>
      <protection locked="0"/>
    </xf>
    <xf numFmtId="0" fontId="15" fillId="0" borderId="2" xfId="0" applyFont="1" applyBorder="1" applyAlignment="1">
      <alignment horizontal="right" vertical="center"/>
    </xf>
    <xf numFmtId="180" fontId="42" fillId="0" borderId="12" xfId="0" applyNumberFormat="1" applyFont="1" applyBorder="1" applyAlignment="1">
      <alignment horizontal="left" vertical="center"/>
    </xf>
    <xf numFmtId="0" fontId="20" fillId="2" borderId="174" xfId="0" applyFont="1" applyFill="1" applyBorder="1" applyAlignment="1" applyProtection="1">
      <alignment vertical="center"/>
      <protection locked="0"/>
    </xf>
    <xf numFmtId="0" fontId="14" fillId="0" borderId="37" xfId="0" applyFont="1" applyBorder="1" applyAlignment="1">
      <alignment horizontal="center" vertical="center" wrapText="1"/>
    </xf>
    <xf numFmtId="0" fontId="14" fillId="0" borderId="12" xfId="0" applyFont="1" applyBorder="1" applyAlignment="1">
      <alignment horizontal="center" vertical="center" wrapText="1"/>
    </xf>
    <xf numFmtId="173" fontId="14" fillId="0" borderId="26" xfId="0" applyNumberFormat="1" applyFont="1" applyBorder="1" applyAlignment="1">
      <alignment horizontal="center" vertical="center" wrapText="1"/>
    </xf>
    <xf numFmtId="14" fontId="20" fillId="2" borderId="175" xfId="0" applyNumberFormat="1" applyFont="1" applyFill="1" applyBorder="1" applyAlignment="1" applyProtection="1">
      <alignment vertical="center"/>
      <protection locked="0"/>
    </xf>
    <xf numFmtId="0" fontId="7" fillId="0" borderId="223" xfId="0" applyFont="1" applyBorder="1" applyAlignment="1">
      <alignment vertical="center"/>
    </xf>
    <xf numFmtId="0" fontId="7" fillId="0" borderId="185" xfId="0" applyFont="1" applyBorder="1" applyAlignment="1">
      <alignment vertical="center"/>
    </xf>
    <xf numFmtId="173" fontId="14" fillId="0" borderId="224" xfId="0" applyNumberFormat="1" applyFont="1" applyBorder="1" applyAlignment="1">
      <alignment vertical="center"/>
    </xf>
    <xf numFmtId="173" fontId="14" fillId="0" borderId="5" xfId="0" applyNumberFormat="1" applyFont="1" applyBorder="1" applyAlignment="1">
      <alignment vertical="center"/>
    </xf>
    <xf numFmtId="173" fontId="14" fillId="0" borderId="22" xfId="0" applyNumberFormat="1" applyFont="1" applyBorder="1" applyAlignment="1">
      <alignment vertical="center"/>
    </xf>
    <xf numFmtId="180" fontId="0" fillId="0" borderId="5" xfId="0" applyNumberFormat="1" applyBorder="1" applyAlignment="1">
      <alignment horizontal="left" vertical="center"/>
    </xf>
    <xf numFmtId="0" fontId="0" fillId="0" borderId="69" xfId="0" applyBorder="1"/>
    <xf numFmtId="0" fontId="115" fillId="0" borderId="12" xfId="0" applyFont="1" applyBorder="1" applyAlignment="1">
      <alignment horizontal="center" wrapText="1"/>
    </xf>
    <xf numFmtId="49" fontId="6" fillId="10" borderId="74" xfId="0" applyNumberFormat="1" applyFont="1" applyFill="1" applyBorder="1" applyAlignment="1" applyProtection="1">
      <alignment horizontal="center" vertical="center"/>
    </xf>
    <xf numFmtId="0" fontId="1" fillId="10" borderId="68" xfId="0" applyFont="1" applyFill="1" applyBorder="1" applyAlignment="1" applyProtection="1">
      <alignment vertical="center"/>
    </xf>
    <xf numFmtId="0" fontId="1" fillId="10" borderId="69" xfId="0" applyFont="1" applyFill="1" applyBorder="1" applyAlignment="1" applyProtection="1">
      <alignment vertical="center"/>
    </xf>
    <xf numFmtId="49" fontId="6" fillId="0" borderId="74" xfId="0" applyNumberFormat="1" applyFont="1" applyFill="1" applyBorder="1" applyAlignment="1" applyProtection="1">
      <alignment horizontal="lef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166" fontId="1" fillId="0" borderId="12" xfId="0" applyNumberFormat="1" applyFont="1" applyBorder="1"/>
    <xf numFmtId="166" fontId="1" fillId="12" borderId="0" xfId="0" applyNumberFormat="1" applyFont="1" applyFill="1"/>
    <xf numFmtId="166" fontId="1" fillId="0" borderId="0" xfId="0" applyNumberFormat="1" applyFont="1"/>
    <xf numFmtId="165" fontId="1" fillId="0" borderId="0" xfId="0" applyNumberFormat="1" applyFont="1"/>
    <xf numFmtId="165" fontId="7" fillId="0" borderId="101" xfId="1" applyFont="1" applyFill="1" applyBorder="1" applyAlignment="1">
      <alignment vertical="center"/>
    </xf>
    <xf numFmtId="173" fontId="14" fillId="0" borderId="0" xfId="0" applyNumberFormat="1" applyFont="1"/>
    <xf numFmtId="165" fontId="1" fillId="0" borderId="181" xfId="0" applyNumberFormat="1" applyFont="1" applyBorder="1"/>
    <xf numFmtId="165" fontId="1" fillId="0" borderId="0" xfId="0" applyNumberFormat="1" applyFont="1" applyBorder="1"/>
    <xf numFmtId="165" fontId="1" fillId="0" borderId="182" xfId="0" applyNumberFormat="1" applyFont="1" applyBorder="1"/>
    <xf numFmtId="165" fontId="1" fillId="0" borderId="44" xfId="0" applyNumberFormat="1" applyFont="1" applyBorder="1"/>
    <xf numFmtId="165" fontId="1" fillId="0" borderId="183" xfId="0" applyNumberFormat="1" applyFont="1" applyBorder="1"/>
    <xf numFmtId="165" fontId="7" fillId="0" borderId="184" xfId="0" applyNumberFormat="1" applyFont="1" applyBorder="1"/>
    <xf numFmtId="165" fontId="7" fillId="0" borderId="122" xfId="0" applyNumberFormat="1" applyFont="1" applyBorder="1"/>
    <xf numFmtId="165" fontId="1" fillId="0" borderId="185" xfId="0" applyNumberFormat="1" applyFont="1" applyBorder="1"/>
    <xf numFmtId="165" fontId="7" fillId="0" borderId="17" xfId="0" applyNumberFormat="1" applyFont="1" applyBorder="1" applyAlignment="1">
      <alignment vertical="center" wrapText="1"/>
    </xf>
    <xf numFmtId="165" fontId="7" fillId="0" borderId="42" xfId="0" applyNumberFormat="1" applyFont="1" applyBorder="1" applyAlignment="1">
      <alignment vertical="center" wrapText="1"/>
    </xf>
    <xf numFmtId="165" fontId="1" fillId="0" borderId="42" xfId="0" applyNumberFormat="1" applyFont="1" applyBorder="1"/>
    <xf numFmtId="165" fontId="7" fillId="0" borderId="184" xfId="0" applyNumberFormat="1" applyFont="1" applyBorder="1" applyAlignment="1">
      <alignment vertical="center"/>
    </xf>
    <xf numFmtId="165" fontId="1" fillId="0" borderId="43" xfId="0" applyNumberFormat="1" applyFont="1" applyBorder="1"/>
    <xf numFmtId="165" fontId="1" fillId="0" borderId="184" xfId="0" applyNumberFormat="1" applyFont="1" applyBorder="1"/>
    <xf numFmtId="165" fontId="1" fillId="0" borderId="137" xfId="0" applyNumberFormat="1" applyFont="1" applyBorder="1" applyAlignment="1"/>
    <xf numFmtId="165" fontId="1" fillId="0" borderId="12" xfId="0" applyNumberFormat="1" applyFont="1" applyBorder="1"/>
    <xf numFmtId="165" fontId="1" fillId="0" borderId="184" xfId="0" applyNumberFormat="1" applyFont="1" applyBorder="1" applyAlignment="1"/>
    <xf numFmtId="49" fontId="17" fillId="2" borderId="35" xfId="0" applyNumberFormat="1" applyFont="1" applyFill="1" applyBorder="1" applyAlignment="1" applyProtection="1">
      <alignment vertical="center"/>
      <protection locked="0"/>
    </xf>
    <xf numFmtId="176" fontId="29" fillId="2" borderId="12" xfId="0" applyNumberFormat="1" applyFont="1" applyFill="1" applyBorder="1" applyAlignment="1" applyProtection="1">
      <alignment horizontal="center" vertical="center"/>
    </xf>
    <xf numFmtId="0" fontId="14" fillId="0" borderId="9" xfId="0" applyFont="1" applyBorder="1" applyAlignment="1">
      <alignment vertical="center"/>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49" fontId="1" fillId="0" borderId="5" xfId="0" applyNumberFormat="1" applyFont="1" applyBorder="1"/>
    <xf numFmtId="0" fontId="17" fillId="13" borderId="105" xfId="0" applyFont="1" applyFill="1" applyBorder="1" applyAlignment="1" applyProtection="1">
      <alignment horizontal="center" vertical="center" wrapText="1"/>
    </xf>
    <xf numFmtId="2" fontId="20" fillId="0" borderId="180"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2" fontId="20" fillId="0" borderId="31" xfId="0" applyNumberFormat="1" applyFont="1" applyFill="1" applyBorder="1" applyAlignment="1" applyProtection="1">
      <alignment vertical="center"/>
    </xf>
    <xf numFmtId="165" fontId="20" fillId="2" borderId="28" xfId="1" applyFont="1" applyFill="1" applyBorder="1" applyAlignment="1" applyProtection="1">
      <alignment vertical="center"/>
      <protection locked="0"/>
    </xf>
    <xf numFmtId="165" fontId="20" fillId="2" borderId="31" xfId="1" applyFont="1" applyFill="1" applyBorder="1" applyAlignment="1" applyProtection="1">
      <alignment vertical="center"/>
      <protection locked="0"/>
    </xf>
    <xf numFmtId="165" fontId="20" fillId="2" borderId="6" xfId="1" applyFont="1" applyFill="1" applyBorder="1" applyAlignment="1" applyProtection="1">
      <alignment vertical="center"/>
      <protection locked="0"/>
    </xf>
    <xf numFmtId="165" fontId="1" fillId="0" borderId="5" xfId="1" applyFont="1" applyBorder="1" applyAlignment="1">
      <alignment vertical="center"/>
    </xf>
    <xf numFmtId="165" fontId="111" fillId="0" borderId="120" xfId="1" applyFont="1" applyBorder="1"/>
    <xf numFmtId="165" fontId="20" fillId="2" borderId="44" xfId="1" applyFont="1" applyFill="1" applyBorder="1" applyAlignment="1" applyProtection="1">
      <alignment vertical="center"/>
      <protection locked="0"/>
    </xf>
    <xf numFmtId="165" fontId="1" fillId="0" borderId="113" xfId="1" applyFont="1" applyBorder="1" applyAlignment="1">
      <alignment vertical="center"/>
    </xf>
    <xf numFmtId="165" fontId="7" fillId="0" borderId="29" xfId="1" applyFont="1" applyBorder="1" applyAlignment="1">
      <alignment horizontal="right" vertical="center"/>
    </xf>
    <xf numFmtId="165" fontId="7" fillId="0" borderId="4" xfId="1" applyFont="1" applyBorder="1" applyAlignment="1">
      <alignment horizontal="right" vertical="center"/>
    </xf>
    <xf numFmtId="165" fontId="20" fillId="2" borderId="47" xfId="1" applyFont="1" applyFill="1" applyBorder="1" applyAlignment="1" applyProtection="1">
      <alignment vertical="center"/>
      <protection locked="0"/>
    </xf>
    <xf numFmtId="165" fontId="20" fillId="2" borderId="51" xfId="1" applyFont="1" applyFill="1" applyBorder="1" applyAlignment="1" applyProtection="1">
      <alignment vertical="center"/>
      <protection locked="0"/>
    </xf>
    <xf numFmtId="165" fontId="24" fillId="0" borderId="119" xfId="1" applyFont="1" applyBorder="1" applyAlignment="1">
      <alignment vertical="center"/>
    </xf>
    <xf numFmtId="165" fontId="7" fillId="0" borderId="3" xfId="1" applyFont="1" applyBorder="1" applyAlignment="1">
      <alignment vertical="center"/>
    </xf>
    <xf numFmtId="180" fontId="1" fillId="0" borderId="88" xfId="0" applyNumberFormat="1" applyFont="1" applyBorder="1" applyAlignment="1">
      <alignment horizontal="center"/>
    </xf>
    <xf numFmtId="185" fontId="7" fillId="0" borderId="10" xfId="0" applyNumberFormat="1" applyFont="1" applyBorder="1" applyAlignment="1">
      <alignment horizontal="left"/>
    </xf>
    <xf numFmtId="0" fontId="16" fillId="0" borderId="0" xfId="0" applyFont="1" applyAlignment="1">
      <alignment horizontal="left"/>
    </xf>
    <xf numFmtId="165" fontId="20" fillId="2" borderId="28" xfId="1" applyFont="1" applyFill="1" applyBorder="1" applyProtection="1">
      <protection locked="0"/>
    </xf>
    <xf numFmtId="2" fontId="20" fillId="2" borderId="28" xfId="0" applyNumberFormat="1" applyFont="1" applyFill="1" applyBorder="1" applyProtection="1">
      <protection locked="0"/>
    </xf>
    <xf numFmtId="2" fontId="20" fillId="2" borderId="44" xfId="0" applyNumberFormat="1" applyFont="1" applyFill="1" applyBorder="1" applyAlignment="1" applyProtection="1">
      <alignment vertical="center"/>
      <protection locked="0"/>
    </xf>
    <xf numFmtId="165" fontId="20" fillId="2" borderId="218" xfId="1" applyFont="1" applyFill="1" applyBorder="1" applyAlignment="1" applyProtection="1">
      <alignment vertical="center"/>
      <protection locked="0"/>
    </xf>
    <xf numFmtId="165" fontId="7" fillId="0" borderId="222" xfId="1" applyFont="1" applyBorder="1" applyAlignment="1">
      <alignment horizontal="right" vertical="center"/>
    </xf>
    <xf numFmtId="1" fontId="20" fillId="2" borderId="28" xfId="0" applyNumberFormat="1" applyFont="1" applyFill="1" applyBorder="1" applyAlignment="1" applyProtection="1">
      <alignment vertical="center"/>
      <protection locked="0"/>
    </xf>
    <xf numFmtId="1" fontId="20" fillId="2" borderId="31" xfId="0" applyNumberFormat="1" applyFont="1" applyFill="1" applyBorder="1" applyAlignment="1" applyProtection="1">
      <alignment vertical="center"/>
      <protection locked="0"/>
    </xf>
    <xf numFmtId="1" fontId="20" fillId="2" borderId="44" xfId="0" applyNumberFormat="1" applyFont="1" applyFill="1" applyBorder="1" applyAlignment="1" applyProtection="1">
      <alignment vertical="center"/>
      <protection locked="0"/>
    </xf>
    <xf numFmtId="172" fontId="1" fillId="15" borderId="135" xfId="0" applyNumberFormat="1" applyFont="1" applyFill="1" applyBorder="1" applyAlignment="1">
      <alignment horizontal="center"/>
    </xf>
    <xf numFmtId="172" fontId="1" fillId="15" borderId="145" xfId="0" applyNumberFormat="1" applyFont="1" applyFill="1" applyBorder="1" applyAlignment="1">
      <alignment horizontal="center"/>
    </xf>
    <xf numFmtId="0" fontId="9" fillId="0" borderId="0" xfId="0" applyFont="1" applyAlignment="1">
      <alignment vertical="center" wrapText="1"/>
    </xf>
    <xf numFmtId="191" fontId="1" fillId="15" borderId="131" xfId="0" applyNumberFormat="1" applyFont="1" applyFill="1" applyBorder="1" applyAlignment="1"/>
    <xf numFmtId="191" fontId="1" fillId="15" borderId="132" xfId="0" applyNumberFormat="1" applyFont="1" applyFill="1" applyBorder="1" applyAlignment="1"/>
    <xf numFmtId="192" fontId="1" fillId="15" borderId="132" xfId="0" applyNumberFormat="1" applyFont="1" applyFill="1" applyBorder="1" applyAlignment="1"/>
    <xf numFmtId="191" fontId="1" fillId="15" borderId="134" xfId="0" applyNumberFormat="1" applyFont="1" applyFill="1" applyBorder="1" applyAlignment="1"/>
    <xf numFmtId="191" fontId="1" fillId="15" borderId="12" xfId="0" applyNumberFormat="1" applyFont="1" applyFill="1" applyBorder="1" applyAlignment="1"/>
    <xf numFmtId="191" fontId="1" fillId="15" borderId="136" xfId="0" applyNumberFormat="1" applyFont="1" applyFill="1" applyBorder="1" applyAlignment="1"/>
    <xf numFmtId="191" fontId="1" fillId="15" borderId="137" xfId="0" applyNumberFormat="1" applyFont="1" applyFill="1" applyBorder="1" applyAlignment="1"/>
    <xf numFmtId="176" fontId="1" fillId="15" borderId="132" xfId="0" applyNumberFormat="1" applyFont="1" applyFill="1" applyBorder="1" applyAlignment="1"/>
    <xf numFmtId="0" fontId="24" fillId="0" borderId="131" xfId="0" applyFont="1" applyFill="1" applyBorder="1" applyAlignment="1">
      <alignment vertical="center"/>
    </xf>
    <xf numFmtId="0" fontId="24" fillId="0" borderId="132" xfId="0" applyFont="1" applyFill="1" applyBorder="1" applyAlignment="1">
      <alignment vertical="center"/>
    </xf>
    <xf numFmtId="0" fontId="24" fillId="0" borderId="132" xfId="0" applyFont="1" applyFill="1" applyBorder="1" applyAlignment="1" applyProtection="1">
      <alignment vertical="center" wrapText="1"/>
    </xf>
    <xf numFmtId="0" fontId="24" fillId="0" borderId="132" xfId="0" applyFont="1" applyFill="1" applyBorder="1" applyAlignment="1" applyProtection="1">
      <alignment vertical="center"/>
    </xf>
    <xf numFmtId="0" fontId="24" fillId="0" borderId="132" xfId="0" applyFont="1" applyFill="1" applyBorder="1" applyAlignment="1" applyProtection="1">
      <alignment horizontal="center" vertical="center" wrapText="1"/>
    </xf>
    <xf numFmtId="0" fontId="24" fillId="0" borderId="133" xfId="0" applyFont="1" applyFill="1" applyBorder="1" applyAlignment="1">
      <alignment horizontal="center" vertical="center"/>
    </xf>
    <xf numFmtId="0" fontId="52" fillId="0" borderId="12" xfId="0" applyFont="1" applyBorder="1" applyAlignment="1">
      <alignment horizontal="left" vertical="center"/>
    </xf>
    <xf numFmtId="0" fontId="4" fillId="0" borderId="0" xfId="0" applyFont="1" applyBorder="1" applyAlignment="1">
      <alignment horizontal="left" vertical="center"/>
    </xf>
    <xf numFmtId="0" fontId="0" fillId="0" borderId="0" xfId="0" applyAlignment="1">
      <alignment vertical="center"/>
    </xf>
    <xf numFmtId="0" fontId="52"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vertical="center"/>
    </xf>
    <xf numFmtId="165" fontId="16" fillId="0" borderId="112" xfId="0" applyNumberFormat="1" applyFont="1" applyFill="1" applyBorder="1" applyAlignment="1" applyProtection="1">
      <alignment horizontal="right" vertical="center"/>
    </xf>
    <xf numFmtId="165" fontId="16" fillId="0" borderId="26" xfId="0" applyNumberFormat="1" applyFont="1" applyFill="1" applyBorder="1" applyAlignment="1" applyProtection="1">
      <alignment horizontal="right" vertical="center"/>
    </xf>
    <xf numFmtId="165" fontId="16" fillId="0" borderId="119" xfId="0" applyNumberFormat="1" applyFont="1" applyFill="1" applyBorder="1" applyAlignment="1" applyProtection="1">
      <alignment horizontal="right" vertical="center"/>
    </xf>
    <xf numFmtId="0" fontId="119" fillId="0" borderId="2" xfId="0" applyFont="1" applyFill="1" applyBorder="1" applyAlignment="1" applyProtection="1">
      <alignment vertical="center"/>
    </xf>
    <xf numFmtId="0" fontId="120" fillId="0" borderId="0" xfId="0" applyFont="1" applyBorder="1" applyAlignment="1">
      <alignment vertical="center"/>
    </xf>
    <xf numFmtId="0" fontId="120" fillId="0" borderId="0" xfId="0" applyFont="1" applyBorder="1"/>
    <xf numFmtId="0" fontId="121" fillId="0" borderId="0" xfId="0" applyFont="1" applyBorder="1" applyAlignment="1">
      <alignment vertical="center"/>
    </xf>
    <xf numFmtId="9" fontId="121" fillId="0" borderId="0" xfId="0" applyNumberFormat="1" applyFont="1" applyBorder="1" applyAlignment="1">
      <alignment horizontal="center" vertical="center"/>
    </xf>
    <xf numFmtId="0" fontId="122" fillId="0" borderId="0" xfId="0" applyFont="1" applyBorder="1" applyAlignment="1">
      <alignment vertical="top"/>
    </xf>
    <xf numFmtId="9" fontId="123" fillId="0" borderId="0" xfId="0" applyNumberFormat="1" applyFont="1" applyBorder="1" applyAlignment="1">
      <alignment horizontal="center" vertical="center"/>
    </xf>
    <xf numFmtId="0" fontId="1" fillId="0" borderId="0" xfId="0" applyNumberFormat="1" applyFont="1" applyAlignment="1">
      <alignment vertical="center" wrapText="1"/>
    </xf>
    <xf numFmtId="0" fontId="17" fillId="16" borderId="121" xfId="0" applyFont="1" applyFill="1" applyBorder="1" applyAlignment="1" applyProtection="1">
      <alignment horizontal="center" vertical="center" wrapText="1"/>
    </xf>
    <xf numFmtId="0" fontId="82" fillId="16" borderId="122" xfId="0" applyFont="1" applyFill="1" applyBorder="1" applyAlignment="1" applyProtection="1">
      <alignment horizontal="center" vertical="center" wrapText="1"/>
    </xf>
    <xf numFmtId="0" fontId="17" fillId="16" borderId="146" xfId="0" applyFont="1" applyFill="1" applyBorder="1" applyAlignment="1" applyProtection="1">
      <alignment horizontal="center" vertical="center" wrapText="1"/>
    </xf>
    <xf numFmtId="165" fontId="16" fillId="15" borderId="112" xfId="0" applyNumberFormat="1" applyFont="1" applyFill="1" applyBorder="1" applyAlignment="1" applyProtection="1">
      <alignment horizontal="right" vertical="center"/>
    </xf>
    <xf numFmtId="165" fontId="16" fillId="15" borderId="26" xfId="0" applyNumberFormat="1" applyFont="1" applyFill="1" applyBorder="1" applyAlignment="1" applyProtection="1">
      <alignment horizontal="right" vertical="center"/>
    </xf>
    <xf numFmtId="165" fontId="16" fillId="15" borderId="119" xfId="0" applyNumberFormat="1" applyFont="1" applyFill="1" applyBorder="1" applyAlignment="1" applyProtection="1">
      <alignment horizontal="right" vertical="center"/>
    </xf>
    <xf numFmtId="165" fontId="16" fillId="15" borderId="95" xfId="0" applyNumberFormat="1" applyFont="1" applyFill="1" applyBorder="1" applyAlignment="1" applyProtection="1">
      <alignment horizontal="right" vertical="center"/>
    </xf>
    <xf numFmtId="165" fontId="16" fillId="15" borderId="22" xfId="0" applyNumberFormat="1" applyFont="1" applyFill="1" applyBorder="1" applyAlignment="1" applyProtection="1">
      <alignment horizontal="right" vertical="center"/>
    </xf>
    <xf numFmtId="0" fontId="28" fillId="17" borderId="22" xfId="0" applyFont="1" applyFill="1" applyBorder="1" applyAlignment="1" applyProtection="1">
      <alignment horizontal="right" vertical="center"/>
    </xf>
    <xf numFmtId="9" fontId="4" fillId="15" borderId="0" xfId="0" applyNumberFormat="1" applyFont="1" applyFill="1" applyBorder="1" applyAlignment="1" applyProtection="1">
      <alignment horizontal="center" vertical="center"/>
    </xf>
    <xf numFmtId="172" fontId="4" fillId="15" borderId="0" xfId="16" applyNumberFormat="1" applyFont="1" applyFill="1" applyBorder="1" applyAlignment="1" applyProtection="1">
      <alignment vertical="center"/>
    </xf>
    <xf numFmtId="9" fontId="4" fillId="15" borderId="0" xfId="16" applyFont="1" applyFill="1" applyBorder="1" applyAlignment="1" applyProtection="1">
      <alignment vertical="center"/>
    </xf>
    <xf numFmtId="9" fontId="5" fillId="15" borderId="0" xfId="16" applyFont="1" applyFill="1" applyBorder="1" applyAlignment="1" applyProtection="1">
      <alignment vertical="center"/>
    </xf>
    <xf numFmtId="9" fontId="4" fillId="15" borderId="0" xfId="0" applyNumberFormat="1" applyFont="1" applyFill="1" applyBorder="1" applyAlignment="1" applyProtection="1">
      <alignment vertical="center"/>
    </xf>
    <xf numFmtId="0" fontId="1" fillId="15" borderId="0" xfId="0" applyFont="1" applyFill="1" applyBorder="1" applyAlignment="1" applyProtection="1">
      <alignment horizontal="center" vertical="center"/>
    </xf>
    <xf numFmtId="0" fontId="4" fillId="15" borderId="0" xfId="0" applyFont="1" applyFill="1" applyBorder="1" applyAlignment="1" applyProtection="1">
      <alignment horizontal="center" vertical="center"/>
    </xf>
    <xf numFmtId="0" fontId="4" fillId="15" borderId="0" xfId="0" applyFont="1" applyFill="1" applyBorder="1" applyAlignment="1" applyProtection="1">
      <alignment vertical="center"/>
    </xf>
    <xf numFmtId="173" fontId="5" fillId="15" borderId="10" xfId="0" applyNumberFormat="1" applyFont="1" applyFill="1" applyBorder="1" applyAlignment="1" applyProtection="1">
      <alignment vertical="center"/>
    </xf>
    <xf numFmtId="0" fontId="52" fillId="15" borderId="225" xfId="0" applyFont="1" applyFill="1" applyBorder="1" applyAlignment="1">
      <alignment vertical="center"/>
    </xf>
    <xf numFmtId="0" fontId="52" fillId="15" borderId="28" xfId="0" applyFont="1" applyFill="1" applyBorder="1" applyAlignment="1">
      <alignment horizontal="left" vertical="center"/>
    </xf>
    <xf numFmtId="9" fontId="52" fillId="15" borderId="28" xfId="16" applyFont="1" applyFill="1" applyBorder="1" applyAlignment="1">
      <alignment horizontal="center" vertical="center" wrapText="1"/>
    </xf>
    <xf numFmtId="9" fontId="52" fillId="15" borderId="28" xfId="16" applyFont="1" applyFill="1" applyBorder="1" applyAlignment="1">
      <alignment vertical="center"/>
    </xf>
    <xf numFmtId="10" fontId="52" fillId="15" borderId="226" xfId="0" applyNumberFormat="1" applyFont="1" applyFill="1" applyBorder="1" applyAlignment="1">
      <alignment vertical="center"/>
    </xf>
    <xf numFmtId="0" fontId="52" fillId="15" borderId="136" xfId="0" applyFont="1" applyFill="1" applyBorder="1" applyAlignment="1">
      <alignment vertical="center"/>
    </xf>
    <xf numFmtId="0" fontId="52" fillId="15" borderId="137" xfId="0" applyFont="1" applyFill="1" applyBorder="1" applyAlignment="1">
      <alignment horizontal="left" vertical="center"/>
    </xf>
    <xf numFmtId="9" fontId="52" fillId="15" borderId="137" xfId="16" applyFont="1" applyFill="1" applyBorder="1" applyAlignment="1">
      <alignment horizontal="center" vertical="center" wrapText="1"/>
    </xf>
    <xf numFmtId="9" fontId="52" fillId="15" borderId="137" xfId="16" applyFont="1" applyFill="1" applyBorder="1" applyAlignment="1">
      <alignment vertical="center"/>
    </xf>
    <xf numFmtId="10" fontId="52" fillId="15" borderId="145" xfId="0" applyNumberFormat="1" applyFont="1" applyFill="1" applyBorder="1" applyAlignment="1">
      <alignment vertical="center"/>
    </xf>
    <xf numFmtId="0" fontId="124" fillId="15" borderId="131" xfId="0" applyFont="1" applyFill="1" applyBorder="1" applyAlignment="1">
      <alignment vertical="center"/>
    </xf>
    <xf numFmtId="0" fontId="125" fillId="15" borderId="6" xfId="0" applyFont="1" applyFill="1" applyBorder="1" applyAlignment="1">
      <alignment horizontal="left" vertical="center"/>
    </xf>
    <xf numFmtId="9" fontId="125" fillId="15" borderId="6" xfId="16" applyFont="1" applyFill="1" applyBorder="1" applyAlignment="1">
      <alignment vertical="center"/>
    </xf>
    <xf numFmtId="10" fontId="125" fillId="15" borderId="229" xfId="0" applyNumberFormat="1" applyFont="1" applyFill="1" applyBorder="1" applyAlignment="1">
      <alignment vertical="center"/>
    </xf>
    <xf numFmtId="0" fontId="124" fillId="15" borderId="227" xfId="0" applyFont="1" applyFill="1" applyBorder="1" applyAlignment="1">
      <alignment vertical="center"/>
    </xf>
    <xf numFmtId="0" fontId="125" fillId="15" borderId="137" xfId="0" applyFont="1" applyFill="1" applyBorder="1" applyAlignment="1">
      <alignment vertical="center"/>
    </xf>
    <xf numFmtId="9" fontId="125" fillId="15" borderId="122" xfId="16" applyFont="1" applyFill="1" applyBorder="1" applyAlignment="1">
      <alignment vertical="center"/>
    </xf>
    <xf numFmtId="10" fontId="125" fillId="15" borderId="228" xfId="0" applyNumberFormat="1" applyFont="1" applyFill="1" applyBorder="1" applyAlignment="1">
      <alignment vertical="center"/>
    </xf>
    <xf numFmtId="9" fontId="52" fillId="15" borderId="122" xfId="16" applyFont="1" applyFill="1" applyBorder="1" applyAlignment="1">
      <alignment horizontal="center" vertical="center" wrapText="1"/>
    </xf>
    <xf numFmtId="9" fontId="52" fillId="15" borderId="132" xfId="16" applyFont="1" applyFill="1" applyBorder="1" applyAlignment="1">
      <alignment horizontal="center" vertical="center" wrapText="1"/>
    </xf>
    <xf numFmtId="0" fontId="126" fillId="0" borderId="12" xfId="0" applyFont="1" applyFill="1" applyBorder="1" applyAlignment="1">
      <alignment vertical="center"/>
    </xf>
    <xf numFmtId="0" fontId="126" fillId="15" borderId="28" xfId="0" applyFont="1" applyFill="1" applyBorder="1" applyAlignment="1">
      <alignment vertical="center"/>
    </xf>
    <xf numFmtId="0" fontId="126" fillId="15" borderId="137" xfId="0" applyFont="1" applyFill="1" applyBorder="1" applyAlignment="1">
      <alignment vertical="center"/>
    </xf>
    <xf numFmtId="0" fontId="127" fillId="15" borderId="6" xfId="0" applyFont="1" applyFill="1" applyBorder="1" applyAlignment="1">
      <alignment vertical="center"/>
    </xf>
    <xf numFmtId="0" fontId="127" fillId="15" borderId="14" xfId="0" applyFont="1" applyFill="1" applyBorder="1" applyAlignment="1">
      <alignment vertical="center"/>
    </xf>
    <xf numFmtId="0" fontId="65" fillId="0" borderId="5" xfId="0" applyFont="1" applyBorder="1" applyAlignment="1" applyProtection="1">
      <alignment vertical="center"/>
    </xf>
    <xf numFmtId="0" fontId="14" fillId="0" borderId="0" xfId="0" applyFont="1" applyBorder="1" applyAlignment="1">
      <alignment horizontal="right" vertical="center"/>
    </xf>
    <xf numFmtId="49" fontId="17" fillId="2" borderId="38" xfId="0" applyNumberFormat="1" applyFont="1" applyFill="1" applyBorder="1" applyAlignment="1" applyProtection="1">
      <alignment vertical="center"/>
      <protection locked="0"/>
    </xf>
    <xf numFmtId="0" fontId="130" fillId="18" borderId="4" xfId="0" applyFont="1" applyFill="1" applyBorder="1" applyAlignment="1" applyProtection="1">
      <alignment horizontal="center" vertical="center" wrapText="1"/>
    </xf>
    <xf numFmtId="0" fontId="16" fillId="0" borderId="2" xfId="0" applyFont="1" applyFill="1" applyBorder="1" applyAlignment="1" applyProtection="1">
      <alignment horizontal="right" vertical="center"/>
    </xf>
    <xf numFmtId="174" fontId="16" fillId="0" borderId="5" xfId="0" applyNumberFormat="1" applyFont="1" applyFill="1" applyBorder="1" applyAlignment="1" applyProtection="1">
      <alignment vertical="center"/>
    </xf>
    <xf numFmtId="0" fontId="16" fillId="0" borderId="6" xfId="0" applyFont="1" applyFill="1" applyBorder="1" applyAlignment="1" applyProtection="1">
      <alignment vertical="center"/>
    </xf>
    <xf numFmtId="174" fontId="16" fillId="14" borderId="79" xfId="0" applyNumberFormat="1" applyFont="1" applyFill="1" applyBorder="1" applyAlignment="1" applyProtection="1">
      <alignment vertical="center"/>
    </xf>
    <xf numFmtId="0" fontId="109" fillId="18" borderId="13" xfId="0" applyFont="1" applyFill="1" applyBorder="1" applyAlignment="1">
      <alignment horizontal="right" vertical="center"/>
    </xf>
    <xf numFmtId="0" fontId="131" fillId="18" borderId="13" xfId="0" applyFont="1" applyFill="1" applyBorder="1" applyAlignment="1">
      <alignment horizontal="center" vertical="center"/>
    </xf>
    <xf numFmtId="9" fontId="131" fillId="18" borderId="13" xfId="16" applyFont="1" applyFill="1" applyBorder="1" applyAlignment="1">
      <alignment horizontal="center" vertical="center"/>
    </xf>
    <xf numFmtId="2" fontId="5" fillId="18" borderId="6" xfId="0" applyNumberFormat="1" applyFont="1" applyFill="1" applyBorder="1" applyAlignment="1" applyProtection="1">
      <alignment vertical="center"/>
    </xf>
    <xf numFmtId="165" fontId="1" fillId="0" borderId="46" xfId="1" applyFont="1" applyBorder="1" applyAlignment="1" applyProtection="1">
      <alignment vertical="center"/>
    </xf>
    <xf numFmtId="0" fontId="101" fillId="0" borderId="18" xfId="0" applyFont="1" applyBorder="1" applyProtection="1">
      <protection locked="0"/>
    </xf>
    <xf numFmtId="0" fontId="1" fillId="0" borderId="13" xfId="0" applyFont="1" applyBorder="1" applyProtection="1">
      <protection locked="0"/>
    </xf>
    <xf numFmtId="0" fontId="101" fillId="0" borderId="13" xfId="0" applyFont="1" applyBorder="1" applyProtection="1">
      <protection locked="0"/>
    </xf>
    <xf numFmtId="0" fontId="7" fillId="0" borderId="13" xfId="0" applyFont="1" applyBorder="1" applyProtection="1">
      <protection locked="0"/>
    </xf>
    <xf numFmtId="0" fontId="1" fillId="0" borderId="20" xfId="0" applyFont="1" applyBorder="1" applyProtection="1">
      <protection locked="0"/>
    </xf>
    <xf numFmtId="0" fontId="1" fillId="0" borderId="18" xfId="0" applyFont="1" applyBorder="1" applyProtection="1">
      <protection locked="0"/>
    </xf>
    <xf numFmtId="0" fontId="1" fillId="0" borderId="2"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0" borderId="5" xfId="0" applyFont="1" applyBorder="1" applyProtection="1">
      <protection locked="0"/>
    </xf>
    <xf numFmtId="0" fontId="7" fillId="0" borderId="0" xfId="0" applyFont="1" applyProtection="1">
      <protection locked="0"/>
    </xf>
    <xf numFmtId="0" fontId="7" fillId="0" borderId="0" xfId="0" applyFont="1" applyAlignment="1" applyProtection="1">
      <alignment horizontal="right"/>
      <protection locked="0"/>
    </xf>
    <xf numFmtId="186" fontId="115" fillId="0" borderId="124" xfId="0" applyNumberFormat="1" applyFont="1" applyBorder="1" applyAlignment="1" applyProtection="1">
      <alignment horizontal="left"/>
      <protection locked="0"/>
    </xf>
    <xf numFmtId="0" fontId="115" fillId="0" borderId="0" xfId="0" applyFont="1" applyProtection="1">
      <protection locked="0"/>
    </xf>
    <xf numFmtId="0" fontId="7" fillId="0" borderId="0" xfId="0" applyFont="1" applyAlignment="1" applyProtection="1">
      <alignment horizontal="center"/>
      <protection locked="0"/>
    </xf>
    <xf numFmtId="0" fontId="0" fillId="0" borderId="0" xfId="0" applyProtection="1">
      <protection locked="0"/>
    </xf>
    <xf numFmtId="0" fontId="7" fillId="0" borderId="0" xfId="0" applyFont="1" applyAlignment="1" applyProtection="1">
      <protection locked="0"/>
    </xf>
    <xf numFmtId="0" fontId="1" fillId="0" borderId="176" xfId="0" applyFont="1" applyFill="1" applyBorder="1" applyAlignment="1" applyProtection="1">
      <alignment horizontal="center"/>
      <protection locked="0"/>
    </xf>
    <xf numFmtId="180" fontId="115" fillId="0" borderId="0" xfId="0" applyNumberFormat="1" applyFont="1" applyAlignment="1" applyProtection="1">
      <alignment horizontal="left"/>
      <protection locked="0"/>
    </xf>
    <xf numFmtId="180" fontId="118" fillId="0" borderId="0" xfId="0" applyNumberFormat="1" applyFont="1" applyAlignment="1" applyProtection="1">
      <alignment horizontal="left"/>
      <protection locked="0"/>
    </xf>
    <xf numFmtId="0" fontId="7" fillId="0" borderId="2" xfId="0" applyFont="1" applyBorder="1" applyProtection="1">
      <protection locked="0"/>
    </xf>
    <xf numFmtId="0" fontId="1" fillId="0" borderId="0" xfId="0" applyFont="1" applyAlignment="1" applyProtection="1">
      <alignment horizontal="center"/>
      <protection locked="0"/>
    </xf>
    <xf numFmtId="0" fontId="7" fillId="0" borderId="0" xfId="0" applyFont="1" applyBorder="1" applyProtection="1">
      <protection locked="0"/>
    </xf>
    <xf numFmtId="0" fontId="1" fillId="0" borderId="124" xfId="0" applyFont="1" applyBorder="1" applyProtection="1">
      <protection locked="0"/>
    </xf>
    <xf numFmtId="0" fontId="1" fillId="0" borderId="124" xfId="0" applyFont="1" applyBorder="1" applyAlignment="1" applyProtection="1">
      <alignment horizontal="right"/>
      <protection locked="0"/>
    </xf>
    <xf numFmtId="0" fontId="1" fillId="0" borderId="0" xfId="0" applyFont="1" applyAlignment="1" applyProtection="1">
      <alignment horizontal="right"/>
      <protection locked="0"/>
    </xf>
    <xf numFmtId="0" fontId="7" fillId="0" borderId="23" xfId="0" applyFont="1" applyBorder="1" applyProtection="1">
      <protection locked="0"/>
    </xf>
    <xf numFmtId="0" fontId="7" fillId="0" borderId="37" xfId="0" applyFont="1" applyBorder="1" applyProtection="1">
      <protection locked="0"/>
    </xf>
    <xf numFmtId="0" fontId="1" fillId="0" borderId="37" xfId="0" applyFont="1" applyBorder="1" applyProtection="1">
      <protection locked="0"/>
    </xf>
    <xf numFmtId="0" fontId="1" fillId="0" borderId="17" xfId="0" applyFont="1" applyBorder="1" applyAlignment="1" applyProtection="1">
      <protection locked="0"/>
    </xf>
    <xf numFmtId="0" fontId="7" fillId="0" borderId="29" xfId="0" applyFont="1" applyBorder="1" applyProtection="1">
      <protection locked="0"/>
    </xf>
    <xf numFmtId="0" fontId="1" fillId="0" borderId="28" xfId="0" applyFont="1" applyBorder="1" applyAlignment="1" applyProtection="1">
      <alignment horizontal="center"/>
      <protection locked="0"/>
    </xf>
    <xf numFmtId="0" fontId="1" fillId="0" borderId="17" xfId="0" applyFont="1" applyBorder="1" applyProtection="1">
      <protection locked="0"/>
    </xf>
    <xf numFmtId="0" fontId="1" fillId="0" borderId="37" xfId="0" applyFont="1" applyBorder="1" applyAlignment="1" applyProtection="1">
      <alignment horizontal="center"/>
      <protection locked="0"/>
    </xf>
    <xf numFmtId="0" fontId="1" fillId="0" borderId="38"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7" fillId="11" borderId="11" xfId="0" applyFont="1" applyFill="1" applyBorder="1" applyAlignment="1" applyProtection="1">
      <alignment horizontal="centerContinuous"/>
      <protection locked="0"/>
    </xf>
    <xf numFmtId="0" fontId="1" fillId="0" borderId="17" xfId="0" applyFont="1" applyBorder="1" applyAlignment="1" applyProtection="1">
      <alignment horizontal="centerContinuous"/>
      <protection locked="0"/>
    </xf>
    <xf numFmtId="0" fontId="1" fillId="0" borderId="16" xfId="0" applyFont="1" applyBorder="1" applyAlignment="1" applyProtection="1">
      <protection locked="0"/>
    </xf>
    <xf numFmtId="0" fontId="7" fillId="0" borderId="17" xfId="0" applyFont="1" applyBorder="1" applyAlignment="1" applyProtection="1">
      <protection locked="0"/>
    </xf>
    <xf numFmtId="0" fontId="7" fillId="0" borderId="16" xfId="0" applyFont="1" applyBorder="1" applyAlignment="1" applyProtection="1">
      <alignment horizontal="centerContinuous"/>
      <protection locked="0"/>
    </xf>
    <xf numFmtId="0" fontId="7" fillId="0" borderId="17" xfId="0" applyFont="1" applyBorder="1" applyAlignment="1" applyProtection="1">
      <alignment horizontal="centerContinuous"/>
      <protection locked="0"/>
    </xf>
    <xf numFmtId="0" fontId="1" fillId="0" borderId="16" xfId="0" applyFont="1" applyBorder="1" applyAlignment="1" applyProtection="1">
      <alignment horizontal="centerContinuous"/>
      <protection locked="0"/>
    </xf>
    <xf numFmtId="0" fontId="1" fillId="0" borderId="42" xfId="0" applyFont="1" applyBorder="1" applyProtection="1">
      <protection locked="0"/>
    </xf>
    <xf numFmtId="0" fontId="1" fillId="0" borderId="44"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113" xfId="0" applyFont="1" applyBorder="1" applyAlignment="1" applyProtection="1">
      <alignment horizontal="center"/>
      <protection locked="0"/>
    </xf>
    <xf numFmtId="0" fontId="7" fillId="11" borderId="9" xfId="0" applyFont="1" applyFill="1" applyBorder="1" applyAlignment="1" applyProtection="1">
      <alignment horizontal="center"/>
      <protection locked="0"/>
    </xf>
    <xf numFmtId="0" fontId="1" fillId="0" borderId="35" xfId="0" applyFont="1" applyBorder="1" applyAlignment="1" applyProtection="1">
      <protection locked="0"/>
    </xf>
    <xf numFmtId="0" fontId="1" fillId="0" borderId="10" xfId="0" applyFont="1" applyBorder="1" applyAlignment="1" applyProtection="1">
      <alignment horizontal="centerContinuous"/>
      <protection locked="0"/>
    </xf>
    <xf numFmtId="0" fontId="1" fillId="0" borderId="35" xfId="0" applyFont="1" applyBorder="1" applyAlignment="1" applyProtection="1">
      <alignment horizontal="centerContinuous"/>
      <protection locked="0"/>
    </xf>
    <xf numFmtId="0" fontId="1" fillId="0" borderId="10"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9" xfId="0" applyFont="1" applyBorder="1" applyAlignment="1" applyProtection="1">
      <alignment horizontal="center"/>
      <protection locked="0"/>
    </xf>
    <xf numFmtId="0" fontId="7" fillId="0" borderId="93" xfId="0" applyFont="1" applyBorder="1" applyAlignment="1" applyProtection="1">
      <alignment horizontal="center"/>
      <protection locked="0"/>
    </xf>
    <xf numFmtId="0" fontId="1" fillId="0" borderId="188" xfId="0" quotePrefix="1" applyFont="1" applyBorder="1" applyProtection="1">
      <protection locked="0"/>
    </xf>
    <xf numFmtId="0" fontId="1" fillId="0" borderId="94" xfId="0" applyFont="1" applyBorder="1" applyProtection="1">
      <protection locked="0"/>
    </xf>
    <xf numFmtId="0" fontId="1" fillId="0" borderId="188" xfId="0" applyFont="1" applyBorder="1" applyProtection="1">
      <protection locked="0"/>
    </xf>
    <xf numFmtId="0" fontId="1" fillId="0" borderId="90" xfId="0" applyFont="1" applyBorder="1" applyProtection="1">
      <protection locked="0"/>
    </xf>
    <xf numFmtId="187" fontId="1" fillId="0" borderId="188" xfId="0" applyNumberFormat="1" applyFont="1" applyBorder="1" applyAlignment="1" applyProtection="1">
      <alignment horizontal="center"/>
      <protection locked="0"/>
    </xf>
    <xf numFmtId="187" fontId="1" fillId="0" borderId="180" xfId="0" quotePrefix="1" applyNumberFormat="1" applyFont="1" applyBorder="1" applyAlignment="1" applyProtection="1">
      <alignment horizontal="center"/>
      <protection locked="0"/>
    </xf>
    <xf numFmtId="187" fontId="1" fillId="0" borderId="94" xfId="0" applyNumberFormat="1" applyFont="1" applyBorder="1" applyAlignment="1" applyProtection="1">
      <alignment horizontal="center"/>
      <protection locked="0"/>
    </xf>
    <xf numFmtId="187" fontId="1" fillId="0" borderId="180" xfId="0" applyNumberFormat="1" applyFont="1" applyBorder="1" applyAlignment="1" applyProtection="1">
      <alignment horizontal="center"/>
      <protection locked="0"/>
    </xf>
    <xf numFmtId="0" fontId="1" fillId="0" borderId="189" xfId="0" quotePrefix="1"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5" xfId="0" quotePrefix="1" applyFont="1" applyBorder="1" applyProtection="1">
      <protection locked="0"/>
    </xf>
    <xf numFmtId="0" fontId="1" fillId="0" borderId="10" xfId="0" applyFont="1" applyBorder="1" applyProtection="1">
      <protection locked="0"/>
    </xf>
    <xf numFmtId="0" fontId="1" fillId="0" borderId="36" xfId="0" quotePrefix="1" applyFont="1" applyBorder="1" applyAlignment="1" applyProtection="1">
      <alignment horizontal="center"/>
      <protection locked="0"/>
    </xf>
    <xf numFmtId="0" fontId="1" fillId="0" borderId="35" xfId="0" applyFont="1" applyBorder="1" applyProtection="1">
      <protection locked="0"/>
    </xf>
    <xf numFmtId="0" fontId="1" fillId="0" borderId="36" xfId="0" applyFont="1" applyBorder="1" applyProtection="1">
      <protection locked="0"/>
    </xf>
    <xf numFmtId="187" fontId="1" fillId="0" borderId="35" xfId="0" applyNumberFormat="1" applyFont="1" applyBorder="1" applyAlignment="1" applyProtection="1">
      <alignment horizontal="center"/>
      <protection locked="0"/>
    </xf>
    <xf numFmtId="187" fontId="1" fillId="0" borderId="35" xfId="0" quotePrefix="1" applyNumberFormat="1" applyFont="1" applyBorder="1" applyAlignment="1" applyProtection="1">
      <alignment horizontal="center"/>
      <protection locked="0"/>
    </xf>
    <xf numFmtId="187" fontId="1" fillId="0" borderId="6" xfId="0" applyNumberFormat="1" applyFont="1" applyBorder="1" applyAlignment="1" applyProtection="1">
      <alignment horizontal="center"/>
      <protection locked="0"/>
    </xf>
    <xf numFmtId="0" fontId="1" fillId="0" borderId="79" xfId="0" quotePrefix="1" applyFont="1" applyBorder="1" applyAlignment="1" applyProtection="1">
      <alignment horizontal="center"/>
      <protection locked="0"/>
    </xf>
    <xf numFmtId="0" fontId="1" fillId="0" borderId="11" xfId="0" applyFont="1" applyBorder="1" applyProtection="1">
      <protection locked="0"/>
    </xf>
    <xf numFmtId="0" fontId="1" fillId="0" borderId="0" xfId="0" quotePrefix="1" applyFont="1" applyBorder="1" applyProtection="1">
      <protection locked="0"/>
    </xf>
    <xf numFmtId="0" fontId="1" fillId="0" borderId="0" xfId="0" applyFont="1" applyBorder="1" applyAlignment="1" applyProtection="1">
      <alignment horizontal="right"/>
      <protection locked="0"/>
    </xf>
    <xf numFmtId="0" fontId="7" fillId="0" borderId="190" xfId="0" applyFont="1" applyBorder="1" applyAlignment="1" applyProtection="1">
      <alignment horizontal="center"/>
      <protection locked="0"/>
    </xf>
    <xf numFmtId="0" fontId="7" fillId="0" borderId="0" xfId="0" applyFont="1" applyBorder="1" applyAlignment="1" applyProtection="1">
      <alignment horizontal="center"/>
      <protection locked="0"/>
    </xf>
    <xf numFmtId="187" fontId="7" fillId="0" borderId="191" xfId="0" applyNumberFormat="1" applyFont="1" applyBorder="1" applyAlignment="1" applyProtection="1">
      <alignment horizontal="center"/>
      <protection locked="0"/>
    </xf>
    <xf numFmtId="0" fontId="1" fillId="0" borderId="0" xfId="0" quotePrefix="1" applyFont="1" applyBorder="1" applyAlignment="1" applyProtection="1">
      <alignment horizontal="center"/>
      <protection locked="0"/>
    </xf>
    <xf numFmtId="0" fontId="7" fillId="0" borderId="192" xfId="0" applyFont="1" applyBorder="1" applyProtection="1">
      <protection locked="0"/>
    </xf>
    <xf numFmtId="0" fontId="1" fillId="0" borderId="185" xfId="0" quotePrefix="1" applyFont="1" applyBorder="1" applyAlignment="1" applyProtection="1">
      <alignment horizontal="center"/>
      <protection locked="0"/>
    </xf>
    <xf numFmtId="0" fontId="1" fillId="0" borderId="193" xfId="0" applyFont="1" applyBorder="1" applyAlignment="1" applyProtection="1">
      <alignment horizontal="center"/>
      <protection locked="0"/>
    </xf>
    <xf numFmtId="0" fontId="7" fillId="0" borderId="132"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1" fillId="0" borderId="8" xfId="0" applyFont="1" applyBorder="1" applyProtection="1">
      <protection locked="0"/>
    </xf>
    <xf numFmtId="0" fontId="1" fillId="0" borderId="4" xfId="0" quotePrefix="1" applyFont="1" applyBorder="1" applyProtection="1">
      <protection locked="0"/>
    </xf>
    <xf numFmtId="0" fontId="1" fillId="0" borderId="4" xfId="0" applyFont="1" applyBorder="1" applyProtection="1">
      <protection locked="0"/>
    </xf>
    <xf numFmtId="0" fontId="1" fillId="0" borderId="4" xfId="0" applyFont="1" applyBorder="1" applyAlignment="1" applyProtection="1">
      <alignment horizontal="center"/>
      <protection locked="0"/>
    </xf>
    <xf numFmtId="0" fontId="1" fillId="0" borderId="4" xfId="0" quotePrefix="1" applyFont="1" applyBorder="1" applyAlignment="1" applyProtection="1">
      <alignment horizontal="center"/>
      <protection locked="0"/>
    </xf>
    <xf numFmtId="0" fontId="7" fillId="0" borderId="194" xfId="0" applyFont="1" applyBorder="1" applyProtection="1">
      <protection locked="0"/>
    </xf>
    <xf numFmtId="0" fontId="7" fillId="0" borderId="169" xfId="0" applyFont="1" applyBorder="1" applyAlignment="1" applyProtection="1">
      <alignment horizontal="center"/>
      <protection locked="0"/>
    </xf>
    <xf numFmtId="187" fontId="7" fillId="0" borderId="22" xfId="0" quotePrefix="1" applyNumberFormat="1" applyFont="1" applyBorder="1" applyAlignment="1" applyProtection="1">
      <alignment horizontal="center"/>
      <protection locked="0"/>
    </xf>
    <xf numFmtId="0" fontId="1" fillId="0" borderId="5" xfId="0" quotePrefix="1" applyFont="1" applyBorder="1" applyAlignment="1" applyProtection="1">
      <alignment horizontal="center"/>
      <protection locked="0"/>
    </xf>
    <xf numFmtId="0" fontId="1" fillId="0" borderId="39" xfId="0" quotePrefix="1" applyFont="1" applyBorder="1" applyAlignment="1" applyProtection="1">
      <alignment horizontal="center"/>
      <protection locked="0"/>
    </xf>
    <xf numFmtId="0" fontId="1" fillId="0" borderId="23" xfId="0" applyFont="1" applyBorder="1" applyProtection="1">
      <protection locked="0"/>
    </xf>
    <xf numFmtId="0" fontId="1" fillId="0" borderId="195" xfId="0" applyFont="1" applyBorder="1" applyProtection="1">
      <protection locked="0"/>
    </xf>
    <xf numFmtId="0" fontId="7" fillId="0" borderId="196" xfId="0" applyFont="1" applyBorder="1" applyAlignment="1" applyProtection="1">
      <alignment horizontal="center"/>
      <protection locked="0"/>
    </xf>
    <xf numFmtId="0" fontId="1" fillId="0" borderId="24" xfId="0" applyFont="1" applyBorder="1" applyProtection="1">
      <protection locked="0"/>
    </xf>
    <xf numFmtId="0" fontId="7" fillId="0" borderId="9" xfId="0" applyFont="1" applyBorder="1" applyAlignment="1" applyProtection="1">
      <alignment horizontal="centerContinuous"/>
      <protection locked="0"/>
    </xf>
    <xf numFmtId="0" fontId="1" fillId="0" borderId="10" xfId="0" applyFont="1" applyBorder="1" applyAlignment="1" applyProtection="1">
      <protection locked="0"/>
    </xf>
    <xf numFmtId="0" fontId="7" fillId="0" borderId="35" xfId="0" applyFont="1" applyBorder="1" applyAlignment="1" applyProtection="1">
      <alignment horizontal="centerContinuous"/>
      <protection locked="0"/>
    </xf>
    <xf numFmtId="0" fontId="7" fillId="0" borderId="195" xfId="0" applyFont="1" applyBorder="1" applyProtection="1">
      <protection locked="0"/>
    </xf>
    <xf numFmtId="0" fontId="7" fillId="0" borderId="78" xfId="0" applyFont="1" applyBorder="1" applyProtection="1">
      <protection locked="0"/>
    </xf>
    <xf numFmtId="0" fontId="7" fillId="0" borderId="197" xfId="0" applyFont="1" applyBorder="1" applyAlignment="1" applyProtection="1">
      <alignment horizontal="center"/>
      <protection locked="0"/>
    </xf>
    <xf numFmtId="0" fontId="7" fillId="0" borderId="42" xfId="0" applyFont="1" applyBorder="1" applyAlignment="1" applyProtection="1">
      <protection locked="0"/>
    </xf>
    <xf numFmtId="0" fontId="7" fillId="0" borderId="5"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7" fillId="0" borderId="198"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73" xfId="0" applyFont="1" applyBorder="1" applyAlignment="1" applyProtection="1">
      <alignment horizontal="center"/>
      <protection locked="0"/>
    </xf>
    <xf numFmtId="0" fontId="1" fillId="0" borderId="199" xfId="0" quotePrefix="1" applyFont="1" applyBorder="1" applyAlignment="1" applyProtection="1">
      <alignment horizontal="center"/>
      <protection locked="0"/>
    </xf>
    <xf numFmtId="0" fontId="1" fillId="0" borderId="200" xfId="0" quotePrefix="1" applyFont="1" applyBorder="1" applyProtection="1">
      <protection locked="0"/>
    </xf>
    <xf numFmtId="0" fontId="1" fillId="0" borderId="200" xfId="0" applyFont="1" applyBorder="1" applyAlignment="1" applyProtection="1">
      <alignment horizontal="center"/>
      <protection locked="0"/>
    </xf>
    <xf numFmtId="0" fontId="1" fillId="0" borderId="125" xfId="0" quotePrefix="1" applyFont="1" applyBorder="1" applyAlignment="1" applyProtection="1">
      <alignment horizontal="center"/>
      <protection locked="0"/>
    </xf>
    <xf numFmtId="0" fontId="1" fillId="0" borderId="201" xfId="0" applyFont="1" applyBorder="1" applyProtection="1">
      <protection locked="0"/>
    </xf>
    <xf numFmtId="0" fontId="1" fillId="0" borderId="125" xfId="0" applyFont="1" applyBorder="1" applyProtection="1">
      <protection locked="0"/>
    </xf>
    <xf numFmtId="0" fontId="1" fillId="0" borderId="200" xfId="0" quotePrefix="1" applyFont="1" applyBorder="1" applyAlignment="1" applyProtection="1">
      <alignment horizontal="center"/>
      <protection locked="0"/>
    </xf>
    <xf numFmtId="2" fontId="1" fillId="0" borderId="202" xfId="0" applyNumberFormat="1" applyFont="1" applyBorder="1" applyAlignment="1" applyProtection="1">
      <alignment horizontal="center"/>
      <protection locked="0"/>
    </xf>
    <xf numFmtId="0" fontId="1" fillId="0" borderId="124" xfId="0" applyFont="1" applyBorder="1" applyAlignment="1" applyProtection="1">
      <alignment horizontal="center"/>
      <protection locked="0"/>
    </xf>
    <xf numFmtId="187" fontId="1" fillId="0" borderId="179" xfId="0" quotePrefix="1" applyNumberFormat="1" applyFont="1" applyBorder="1" applyAlignment="1" applyProtection="1">
      <alignment horizontal="center"/>
      <protection locked="0"/>
    </xf>
    <xf numFmtId="0" fontId="1" fillId="0" borderId="9" xfId="0" quotePrefix="1" applyFont="1" applyBorder="1" applyAlignment="1" applyProtection="1">
      <alignment horizontal="center"/>
      <protection locked="0"/>
    </xf>
    <xf numFmtId="0" fontId="1" fillId="0" borderId="35" xfId="0" quotePrefix="1" applyFont="1" applyBorder="1" applyAlignment="1" applyProtection="1">
      <alignment horizontal="center"/>
      <protection locked="0"/>
    </xf>
    <xf numFmtId="0" fontId="1" fillId="0" borderId="36" xfId="0" applyFont="1" applyBorder="1" applyAlignment="1" applyProtection="1">
      <alignment horizontal="right"/>
      <protection locked="0"/>
    </xf>
    <xf numFmtId="0" fontId="1" fillId="0" borderId="35" xfId="0" quotePrefix="1" applyFont="1" applyBorder="1" applyAlignment="1" applyProtection="1">
      <protection locked="0"/>
    </xf>
    <xf numFmtId="2" fontId="1" fillId="0" borderId="203" xfId="0" applyNumberFormat="1" applyFont="1" applyBorder="1" applyAlignment="1" applyProtection="1">
      <alignment horizontal="center"/>
      <protection locked="0"/>
    </xf>
    <xf numFmtId="187" fontId="1" fillId="0" borderId="79" xfId="0" applyNumberFormat="1" applyFont="1" applyBorder="1" applyAlignment="1" applyProtection="1">
      <alignment horizontal="center"/>
      <protection locked="0"/>
    </xf>
    <xf numFmtId="0" fontId="1" fillId="11" borderId="56" xfId="0" applyFont="1" applyFill="1" applyBorder="1" applyProtection="1">
      <protection locked="0"/>
    </xf>
    <xf numFmtId="0" fontId="1" fillId="11" borderId="1" xfId="0" applyFont="1" applyFill="1" applyBorder="1" applyProtection="1">
      <protection locked="0"/>
    </xf>
    <xf numFmtId="0" fontId="7" fillId="11" borderId="1" xfId="0" applyFont="1" applyFill="1" applyBorder="1" applyProtection="1">
      <protection locked="0"/>
    </xf>
    <xf numFmtId="0" fontId="7" fillId="0" borderId="204" xfId="0" applyFont="1" applyBorder="1" applyAlignment="1" applyProtection="1">
      <alignment horizontal="center"/>
      <protection locked="0"/>
    </xf>
    <xf numFmtId="2" fontId="7" fillId="0" borderId="205" xfId="0" applyNumberFormat="1" applyFont="1" applyBorder="1" applyAlignment="1" applyProtection="1">
      <alignment horizontal="center"/>
      <protection locked="0"/>
    </xf>
    <xf numFmtId="0" fontId="7" fillId="0" borderId="77" xfId="0" applyFont="1" applyBorder="1" applyAlignment="1" applyProtection="1">
      <alignment horizontal="center"/>
      <protection locked="0"/>
    </xf>
    <xf numFmtId="187" fontId="7" fillId="0" borderId="140" xfId="0" applyNumberFormat="1" applyFont="1" applyBorder="1" applyAlignment="1" applyProtection="1">
      <alignment horizontal="center"/>
      <protection locked="0"/>
    </xf>
    <xf numFmtId="0" fontId="1" fillId="0" borderId="38" xfId="0" applyFont="1" applyBorder="1" applyProtection="1">
      <protection locked="0"/>
    </xf>
    <xf numFmtId="0" fontId="7" fillId="0" borderId="37" xfId="0" applyFont="1" applyFill="1" applyBorder="1" applyProtection="1">
      <protection locked="0"/>
    </xf>
    <xf numFmtId="0" fontId="1" fillId="0" borderId="39" xfId="0" applyFont="1" applyBorder="1" applyProtection="1">
      <protection locked="0"/>
    </xf>
    <xf numFmtId="0" fontId="1" fillId="0" borderId="36" xfId="0" applyFont="1" applyBorder="1" applyAlignment="1" applyProtection="1">
      <alignment horizontal="centerContinuous"/>
      <protection locked="0"/>
    </xf>
    <xf numFmtId="0" fontId="7" fillId="0" borderId="42" xfId="0" applyFont="1" applyBorder="1" applyProtection="1">
      <protection locked="0"/>
    </xf>
    <xf numFmtId="0" fontId="1" fillId="0" borderId="43" xfId="0" applyFont="1" applyBorder="1" applyProtection="1">
      <protection locked="0"/>
    </xf>
    <xf numFmtId="0" fontId="1" fillId="0" borderId="39" xfId="0" applyFont="1" applyBorder="1" applyAlignment="1" applyProtection="1">
      <protection locked="0"/>
    </xf>
    <xf numFmtId="0" fontId="7" fillId="0" borderId="35" xfId="0" applyFont="1" applyFill="1" applyBorder="1" applyAlignment="1" applyProtection="1">
      <protection locked="0"/>
    </xf>
    <xf numFmtId="0" fontId="1" fillId="0" borderId="36" xfId="0" applyFont="1" applyFill="1" applyBorder="1" applyProtection="1">
      <protection locked="0"/>
    </xf>
    <xf numFmtId="0" fontId="7" fillId="0" borderId="10" xfId="0" applyFont="1" applyBorder="1" applyAlignment="1" applyProtection="1">
      <alignment horizontal="centerContinuous"/>
      <protection locked="0"/>
    </xf>
    <xf numFmtId="0" fontId="7" fillId="0" borderId="35" xfId="0" applyFont="1" applyBorder="1" applyProtection="1">
      <protection locked="0"/>
    </xf>
    <xf numFmtId="0" fontId="7" fillId="0" borderId="10" xfId="0" applyFont="1" applyBorder="1" applyProtection="1">
      <protection locked="0"/>
    </xf>
    <xf numFmtId="0" fontId="7" fillId="0" borderId="10" xfId="0" applyFont="1" applyBorder="1" applyAlignment="1" applyProtection="1">
      <alignment horizontal="center"/>
      <protection locked="0"/>
    </xf>
    <xf numFmtId="0" fontId="1" fillId="0" borderId="73" xfId="0" applyFont="1" applyBorder="1" applyAlignment="1" applyProtection="1">
      <protection locked="0"/>
    </xf>
    <xf numFmtId="1" fontId="1" fillId="0" borderId="93" xfId="0" applyNumberFormat="1" applyFont="1" applyFill="1" applyBorder="1" applyAlignment="1" applyProtection="1">
      <alignment horizontal="center"/>
      <protection locked="0"/>
    </xf>
    <xf numFmtId="0" fontId="1" fillId="11" borderId="188" xfId="0" applyFont="1" applyFill="1" applyBorder="1" applyAlignment="1" applyProtection="1">
      <alignment horizontal="centerContinuous"/>
      <protection locked="0"/>
    </xf>
    <xf numFmtId="0" fontId="1" fillId="11" borderId="90" xfId="0" applyFont="1" applyFill="1" applyBorder="1" applyAlignment="1" applyProtection="1">
      <alignment horizontal="centerContinuous"/>
      <protection locked="0"/>
    </xf>
    <xf numFmtId="173" fontId="1" fillId="0" borderId="188" xfId="0" applyNumberFormat="1" applyFont="1" applyBorder="1" applyProtection="1">
      <protection locked="0"/>
    </xf>
    <xf numFmtId="0" fontId="1" fillId="0" borderId="94" xfId="0" quotePrefix="1" applyFont="1" applyBorder="1" applyProtection="1">
      <protection locked="0"/>
    </xf>
    <xf numFmtId="4" fontId="1" fillId="0" borderId="188" xfId="0" applyNumberFormat="1" applyFont="1" applyBorder="1" applyProtection="1">
      <protection locked="0"/>
    </xf>
    <xf numFmtId="0" fontId="7" fillId="0" borderId="28" xfId="0" applyFont="1" applyBorder="1" applyAlignment="1" applyProtection="1">
      <alignment horizontal="center"/>
      <protection locked="0"/>
    </xf>
    <xf numFmtId="0" fontId="7" fillId="0" borderId="113" xfId="0" applyFont="1" applyBorder="1" applyAlignment="1" applyProtection="1">
      <alignment horizontal="center"/>
      <protection locked="0"/>
    </xf>
    <xf numFmtId="0" fontId="1" fillId="0" borderId="123" xfId="0" applyFont="1" applyBorder="1" applyAlignment="1" applyProtection="1">
      <alignment horizontal="center"/>
      <protection locked="0"/>
    </xf>
    <xf numFmtId="0" fontId="1" fillId="0" borderId="200" xfId="0" applyFont="1" applyFill="1" applyBorder="1" applyAlignment="1" applyProtection="1">
      <protection locked="0"/>
    </xf>
    <xf numFmtId="0" fontId="1" fillId="0" borderId="125" xfId="0" applyFont="1" applyFill="1" applyBorder="1" applyAlignment="1" applyProtection="1">
      <alignment horizontal="center"/>
      <protection locked="0"/>
    </xf>
    <xf numFmtId="173" fontId="1" fillId="0" borderId="124" xfId="0" applyNumberFormat="1" applyFont="1" applyBorder="1" applyProtection="1">
      <protection locked="0"/>
    </xf>
    <xf numFmtId="0" fontId="1" fillId="0" borderId="124" xfId="0" quotePrefix="1" applyFont="1" applyBorder="1" applyProtection="1">
      <protection locked="0"/>
    </xf>
    <xf numFmtId="4" fontId="1" fillId="0" borderId="200" xfId="0" applyNumberFormat="1" applyFont="1" applyBorder="1" applyProtection="1">
      <protection locked="0"/>
    </xf>
    <xf numFmtId="0" fontId="7" fillId="0" borderId="79" xfId="0" applyFont="1" applyBorder="1" applyAlignment="1" applyProtection="1">
      <alignment horizontal="center"/>
      <protection locked="0"/>
    </xf>
    <xf numFmtId="0" fontId="1" fillId="11" borderId="83" xfId="0" applyFont="1" applyFill="1" applyBorder="1" applyProtection="1">
      <protection locked="0"/>
    </xf>
    <xf numFmtId="187" fontId="1" fillId="0" borderId="206" xfId="0" applyNumberFormat="1" applyFont="1" applyBorder="1" applyProtection="1">
      <protection locked="0"/>
    </xf>
    <xf numFmtId="0" fontId="1" fillId="0" borderId="70" xfId="0" applyFont="1" applyBorder="1" applyProtection="1">
      <protection locked="0"/>
    </xf>
    <xf numFmtId="173" fontId="1" fillId="0" borderId="7" xfId="0" applyNumberFormat="1" applyFont="1" applyBorder="1" applyProtection="1">
      <protection locked="0"/>
    </xf>
    <xf numFmtId="0" fontId="1" fillId="0" borderId="7" xfId="0" quotePrefix="1" applyFont="1" applyBorder="1" applyProtection="1">
      <protection locked="0"/>
    </xf>
    <xf numFmtId="4" fontId="1" fillId="0" borderId="206" xfId="0" applyNumberFormat="1" applyFont="1" applyBorder="1" applyProtection="1">
      <protection locked="0"/>
    </xf>
    <xf numFmtId="187" fontId="7" fillId="0" borderId="17" xfId="0" applyNumberFormat="1" applyFont="1" applyBorder="1" applyProtection="1">
      <protection locked="0"/>
    </xf>
    <xf numFmtId="1" fontId="1" fillId="0" borderId="28" xfId="0" applyNumberFormat="1" applyFont="1" applyBorder="1" applyProtection="1">
      <protection locked="0"/>
    </xf>
    <xf numFmtId="187" fontId="1" fillId="0" borderId="17" xfId="0" applyNumberFormat="1" applyFont="1" applyBorder="1" applyProtection="1">
      <protection locked="0"/>
    </xf>
    <xf numFmtId="187" fontId="1" fillId="0" borderId="28" xfId="0" applyNumberFormat="1" applyFont="1" applyBorder="1" applyProtection="1">
      <protection locked="0"/>
    </xf>
    <xf numFmtId="4" fontId="1" fillId="0" borderId="17" xfId="0" applyNumberFormat="1" applyFont="1" applyBorder="1" applyProtection="1">
      <protection locked="0"/>
    </xf>
    <xf numFmtId="173" fontId="1" fillId="0" borderId="53" xfId="0" applyNumberFormat="1" applyFont="1" applyBorder="1" applyAlignment="1" applyProtection="1">
      <protection locked="0"/>
    </xf>
    <xf numFmtId="0" fontId="1" fillId="0" borderId="9" xfId="0" applyFont="1" applyFill="1" applyBorder="1" applyProtection="1">
      <protection locked="0"/>
    </xf>
    <xf numFmtId="187" fontId="1" fillId="0" borderId="35" xfId="0" applyNumberFormat="1" applyFont="1" applyBorder="1" applyAlignment="1" applyProtection="1">
      <alignment horizontal="right"/>
      <protection locked="0"/>
    </xf>
    <xf numFmtId="173" fontId="1" fillId="0" borderId="35" xfId="0" applyNumberFormat="1" applyFont="1" applyBorder="1" applyProtection="1">
      <protection locked="0"/>
    </xf>
    <xf numFmtId="0" fontId="1" fillId="0" borderId="10" xfId="0" quotePrefix="1" applyFont="1" applyBorder="1" applyProtection="1">
      <protection locked="0"/>
    </xf>
    <xf numFmtId="4" fontId="1" fillId="0" borderId="35" xfId="0" applyNumberFormat="1" applyFont="1" applyBorder="1" applyProtection="1">
      <protection locked="0"/>
    </xf>
    <xf numFmtId="1" fontId="1" fillId="0" borderId="6" xfId="0" applyNumberFormat="1" applyFont="1" applyBorder="1" applyAlignment="1" applyProtection="1">
      <alignment horizontal="center"/>
      <protection locked="0"/>
    </xf>
    <xf numFmtId="4" fontId="1" fillId="0" borderId="35" xfId="0" applyNumberFormat="1" applyFont="1" applyBorder="1" applyAlignment="1" applyProtection="1">
      <alignment horizontal="center"/>
      <protection locked="0"/>
    </xf>
    <xf numFmtId="4" fontId="1" fillId="0" borderId="79" xfId="0" applyNumberFormat="1" applyFont="1" applyBorder="1" applyAlignment="1" applyProtection="1">
      <alignment horizontal="center"/>
      <protection locked="0"/>
    </xf>
    <xf numFmtId="0" fontId="1" fillId="11" borderId="8" xfId="0" applyFont="1" applyFill="1" applyBorder="1" applyProtection="1">
      <protection locked="0"/>
    </xf>
    <xf numFmtId="0" fontId="1" fillId="11" borderId="4" xfId="0" applyFont="1" applyFill="1" applyBorder="1" applyProtection="1">
      <protection locked="0"/>
    </xf>
    <xf numFmtId="0" fontId="7" fillId="0" borderId="71" xfId="0" applyFont="1" applyBorder="1" applyProtection="1">
      <protection locked="0"/>
    </xf>
    <xf numFmtId="0" fontId="1" fillId="0" borderId="1" xfId="0" applyFont="1" applyBorder="1" applyProtection="1">
      <protection locked="0"/>
    </xf>
    <xf numFmtId="4" fontId="7" fillId="0" borderId="71" xfId="0" applyNumberFormat="1" applyFont="1" applyBorder="1" applyProtection="1">
      <protection locked="0"/>
    </xf>
    <xf numFmtId="0" fontId="1" fillId="0" borderId="57" xfId="0" applyFont="1" applyBorder="1" applyProtection="1">
      <protection locked="0"/>
    </xf>
    <xf numFmtId="0" fontId="1" fillId="11" borderId="71" xfId="0" applyFont="1" applyFill="1" applyBorder="1" applyProtection="1">
      <protection locked="0"/>
    </xf>
    <xf numFmtId="4" fontId="7" fillId="0" borderId="116" xfId="0" applyNumberFormat="1" applyFont="1" applyBorder="1" applyAlignment="1" applyProtection="1">
      <alignment horizontal="center"/>
      <protection locked="0"/>
    </xf>
    <xf numFmtId="173" fontId="1" fillId="0" borderId="0" xfId="0" applyNumberFormat="1" applyFont="1" applyBorder="1" applyProtection="1">
      <protection locked="0"/>
    </xf>
    <xf numFmtId="0" fontId="1" fillId="0" borderId="0" xfId="0" applyFont="1" applyFill="1" applyBorder="1" applyProtection="1">
      <protection locked="0"/>
    </xf>
    <xf numFmtId="0" fontId="7" fillId="0" borderId="11" xfId="0" applyFont="1" applyBorder="1" applyAlignment="1" applyProtection="1">
      <alignment horizontal="center"/>
      <protection locked="0"/>
    </xf>
    <xf numFmtId="0" fontId="7" fillId="0" borderId="17" xfId="0" applyFont="1" applyBorder="1" applyProtection="1">
      <protection locked="0"/>
    </xf>
    <xf numFmtId="0" fontId="1" fillId="0" borderId="16" xfId="0" applyFont="1" applyBorder="1" applyProtection="1">
      <protection locked="0"/>
    </xf>
    <xf numFmtId="0" fontId="1" fillId="0" borderId="29" xfId="0" applyFont="1" applyBorder="1" applyProtection="1">
      <protection locked="0"/>
    </xf>
    <xf numFmtId="0" fontId="7" fillId="0" borderId="17" xfId="0" applyFont="1" applyBorder="1" applyAlignment="1" applyProtection="1">
      <alignment horizontal="center"/>
      <protection locked="0"/>
    </xf>
    <xf numFmtId="0" fontId="7" fillId="0" borderId="42" xfId="0" applyFont="1" applyBorder="1" applyAlignment="1" applyProtection="1">
      <alignment horizontal="centerContinuous"/>
      <protection locked="0"/>
    </xf>
    <xf numFmtId="0" fontId="7" fillId="0" borderId="53" xfId="0" applyFont="1" applyBorder="1" applyAlignment="1" applyProtection="1">
      <alignment horizontal="center"/>
      <protection locked="0"/>
    </xf>
    <xf numFmtId="0" fontId="7" fillId="0" borderId="35" xfId="0" applyFont="1" applyBorder="1" applyAlignment="1" applyProtection="1">
      <protection locked="0"/>
    </xf>
    <xf numFmtId="0" fontId="1" fillId="0" borderId="27" xfId="0" applyFont="1" applyBorder="1" applyProtection="1">
      <protection locked="0"/>
    </xf>
    <xf numFmtId="1" fontId="1" fillId="0" borderId="17" xfId="0" applyNumberFormat="1" applyFont="1" applyBorder="1" applyProtection="1">
      <protection locked="0"/>
    </xf>
    <xf numFmtId="0" fontId="7" fillId="0" borderId="28" xfId="0" applyFont="1" applyBorder="1" applyAlignment="1" applyProtection="1">
      <protection locked="0"/>
    </xf>
    <xf numFmtId="0" fontId="1" fillId="0" borderId="28" xfId="0" applyFont="1" applyBorder="1" applyProtection="1">
      <protection locked="0"/>
    </xf>
    <xf numFmtId="4" fontId="1" fillId="0" borderId="53" xfId="0" applyNumberFormat="1" applyFont="1" applyBorder="1" applyProtection="1">
      <protection locked="0"/>
    </xf>
    <xf numFmtId="0" fontId="1" fillId="0" borderId="123" xfId="0" applyFont="1" applyBorder="1" applyProtection="1">
      <protection locked="0"/>
    </xf>
    <xf numFmtId="0" fontId="1" fillId="0" borderId="200" xfId="0" applyFont="1" applyBorder="1" applyProtection="1">
      <protection locked="0"/>
    </xf>
    <xf numFmtId="1" fontId="1" fillId="0" borderId="200" xfId="0" applyNumberFormat="1" applyFont="1" applyBorder="1" applyProtection="1">
      <protection locked="0"/>
    </xf>
    <xf numFmtId="0" fontId="1" fillId="0" borderId="181" xfId="0" applyFont="1" applyBorder="1" applyAlignment="1" applyProtection="1">
      <alignment horizontal="right"/>
      <protection locked="0"/>
    </xf>
    <xf numFmtId="173" fontId="1" fillId="0" borderId="200" xfId="0" applyNumberFormat="1" applyFont="1" applyBorder="1" applyProtection="1">
      <protection locked="0"/>
    </xf>
    <xf numFmtId="4" fontId="1" fillId="0" borderId="179" xfId="0" applyNumberFormat="1" applyFont="1" applyBorder="1" applyAlignment="1" applyProtection="1">
      <protection locked="0"/>
    </xf>
    <xf numFmtId="0" fontId="1" fillId="0" borderId="9" xfId="0" applyFont="1" applyBorder="1" applyProtection="1">
      <protection locked="0"/>
    </xf>
    <xf numFmtId="1" fontId="1" fillId="0" borderId="35" xfId="0" applyNumberFormat="1" applyFont="1" applyBorder="1" applyProtection="1">
      <protection locked="0"/>
    </xf>
    <xf numFmtId="0" fontId="1" fillId="0" borderId="44" xfId="0" applyFont="1" applyBorder="1" applyAlignment="1" applyProtection="1">
      <alignment horizontal="right"/>
      <protection locked="0"/>
    </xf>
    <xf numFmtId="0" fontId="1" fillId="0" borderId="44" xfId="0" applyFont="1" applyBorder="1" applyProtection="1">
      <protection locked="0"/>
    </xf>
    <xf numFmtId="2" fontId="1" fillId="0" borderId="42" xfId="0" applyNumberFormat="1" applyFont="1" applyBorder="1" applyProtection="1">
      <protection locked="0"/>
    </xf>
    <xf numFmtId="4" fontId="1" fillId="0" borderId="113" xfId="0" applyNumberFormat="1" applyFont="1" applyBorder="1" applyAlignment="1" applyProtection="1">
      <protection locked="0"/>
    </xf>
    <xf numFmtId="187" fontId="1" fillId="11" borderId="4" xfId="0" applyNumberFormat="1" applyFont="1" applyFill="1" applyBorder="1" applyProtection="1">
      <protection locked="0"/>
    </xf>
    <xf numFmtId="0" fontId="1" fillId="11" borderId="4" xfId="0" applyFont="1" applyFill="1" applyBorder="1" applyAlignment="1" applyProtection="1">
      <alignment horizontal="center"/>
      <protection locked="0"/>
    </xf>
    <xf numFmtId="4" fontId="7" fillId="0" borderId="116" xfId="0" applyNumberFormat="1" applyFont="1" applyBorder="1" applyAlignment="1" applyProtection="1">
      <protection locked="0"/>
    </xf>
    <xf numFmtId="174" fontId="7" fillId="0" borderId="8" xfId="0" applyNumberFormat="1" applyFont="1" applyBorder="1" applyProtection="1">
      <protection locked="0"/>
    </xf>
    <xf numFmtId="174" fontId="101" fillId="0" borderId="4" xfId="0" applyNumberFormat="1" applyFont="1" applyBorder="1" applyProtection="1">
      <protection locked="0"/>
    </xf>
    <xf numFmtId="174" fontId="1" fillId="0" borderId="4" xfId="0" applyNumberFormat="1" applyFont="1" applyBorder="1" applyProtection="1">
      <protection locked="0"/>
    </xf>
    <xf numFmtId="174" fontId="7" fillId="0" borderId="58" xfId="0" applyNumberFormat="1" applyFont="1" applyBorder="1" applyAlignment="1" applyProtection="1">
      <alignment horizontal="centerContinuous"/>
      <protection locked="0"/>
    </xf>
    <xf numFmtId="174" fontId="7" fillId="0" borderId="59" xfId="0" applyNumberFormat="1" applyFont="1" applyBorder="1" applyAlignment="1" applyProtection="1">
      <alignment horizontal="centerContinuous"/>
      <protection locked="0"/>
    </xf>
    <xf numFmtId="174" fontId="1" fillId="0" borderId="59" xfId="0" applyNumberFormat="1" applyFont="1" applyBorder="1" applyProtection="1">
      <protection locked="0"/>
    </xf>
    <xf numFmtId="174" fontId="7" fillId="0" borderId="59" xfId="0" applyNumberFormat="1" applyFont="1" applyBorder="1" applyProtection="1">
      <protection locked="0"/>
    </xf>
    <xf numFmtId="174" fontId="1" fillId="0" borderId="207" xfId="0" applyNumberFormat="1" applyFont="1" applyBorder="1" applyProtection="1">
      <protection locked="0"/>
    </xf>
    <xf numFmtId="0" fontId="1" fillId="0" borderId="67" xfId="0" applyFont="1" applyBorder="1" applyProtection="1">
      <protection locked="0"/>
    </xf>
    <xf numFmtId="174" fontId="7" fillId="0" borderId="98" xfId="0" applyNumberFormat="1" applyFont="1" applyBorder="1" applyAlignment="1" applyProtection="1">
      <alignment horizontal="center"/>
      <protection locked="0"/>
    </xf>
    <xf numFmtId="174" fontId="1" fillId="0" borderId="9" xfId="0" applyNumberFormat="1" applyFont="1" applyBorder="1" applyProtection="1">
      <protection locked="0"/>
    </xf>
    <xf numFmtId="174" fontId="1" fillId="0" borderId="10" xfId="0" applyNumberFormat="1" applyFont="1" applyBorder="1" applyProtection="1">
      <protection locked="0"/>
    </xf>
    <xf numFmtId="174" fontId="1" fillId="0" borderId="35" xfId="0" applyNumberFormat="1" applyFont="1" applyBorder="1" applyProtection="1">
      <protection locked="0"/>
    </xf>
    <xf numFmtId="174" fontId="1" fillId="0" borderId="36" xfId="0" applyNumberFormat="1" applyFont="1" applyBorder="1" applyProtection="1">
      <protection locked="0"/>
    </xf>
    <xf numFmtId="174" fontId="1" fillId="0" borderId="160" xfId="0" applyNumberFormat="1" applyFont="1" applyBorder="1" applyProtection="1">
      <protection locked="0"/>
    </xf>
    <xf numFmtId="174" fontId="1" fillId="0" borderId="168" xfId="0" applyNumberFormat="1" applyFont="1" applyBorder="1" applyProtection="1">
      <protection locked="0"/>
    </xf>
    <xf numFmtId="174" fontId="1" fillId="0" borderId="208" xfId="0" applyNumberFormat="1" applyFont="1" applyBorder="1" applyProtection="1">
      <protection locked="0"/>
    </xf>
    <xf numFmtId="0" fontId="1" fillId="0" borderId="168" xfId="0" applyFont="1" applyBorder="1" applyProtection="1">
      <protection locked="0"/>
    </xf>
    <xf numFmtId="0" fontId="1" fillId="0" borderId="208" xfId="0" applyFont="1" applyBorder="1" applyProtection="1">
      <protection locked="0"/>
    </xf>
    <xf numFmtId="174" fontId="1" fillId="0" borderId="79" xfId="0" applyNumberFormat="1" applyFont="1" applyBorder="1" applyProtection="1">
      <protection locked="0"/>
    </xf>
    <xf numFmtId="174" fontId="1" fillId="0" borderId="8" xfId="0" quotePrefix="1" applyNumberFormat="1" applyFont="1" applyBorder="1" applyProtection="1">
      <protection locked="0"/>
    </xf>
    <xf numFmtId="174" fontId="1" fillId="0" borderId="4" xfId="0" quotePrefix="1" applyNumberFormat="1" applyFont="1" applyBorder="1" applyProtection="1">
      <protection locked="0"/>
    </xf>
    <xf numFmtId="174" fontId="1" fillId="0" borderId="99" xfId="0" applyNumberFormat="1" applyFont="1" applyBorder="1" applyProtection="1">
      <protection locked="0"/>
    </xf>
    <xf numFmtId="174" fontId="1" fillId="0" borderId="60" xfId="0" applyNumberFormat="1" applyFont="1" applyBorder="1" applyProtection="1">
      <protection locked="0"/>
    </xf>
    <xf numFmtId="174" fontId="1" fillId="0" borderId="71" xfId="0" applyNumberFormat="1" applyFont="1" applyBorder="1" applyProtection="1">
      <protection locked="0"/>
    </xf>
    <xf numFmtId="173" fontId="1" fillId="0" borderId="120" xfId="0" applyNumberFormat="1" applyFont="1" applyBorder="1" applyAlignment="1" applyProtection="1">
      <alignment horizontal="center"/>
      <protection locked="0"/>
    </xf>
    <xf numFmtId="0" fontId="7" fillId="0" borderId="9" xfId="0" applyFont="1" applyBorder="1" applyProtection="1">
      <protection locked="0"/>
    </xf>
    <xf numFmtId="0" fontId="1" fillId="0" borderId="73" xfId="0" applyFont="1" applyBorder="1" applyProtection="1">
      <protection locked="0"/>
    </xf>
    <xf numFmtId="0" fontId="7" fillId="0" borderId="12" xfId="0" applyFont="1" applyBorder="1" applyAlignment="1" applyProtection="1">
      <alignment horizontal="center"/>
      <protection locked="0"/>
    </xf>
    <xf numFmtId="0" fontId="1" fillId="0" borderId="0" xfId="0" applyFont="1" applyAlignment="1" applyProtection="1">
      <protection locked="0"/>
    </xf>
    <xf numFmtId="0" fontId="1" fillId="0" borderId="113" xfId="0" applyFont="1" applyBorder="1" applyProtection="1">
      <protection locked="0"/>
    </xf>
    <xf numFmtId="15" fontId="1" fillId="0" borderId="9" xfId="0" applyNumberFormat="1" applyFont="1" applyBorder="1" applyAlignment="1" applyProtection="1">
      <alignment horizontal="centerContinuous"/>
      <protection locked="0"/>
    </xf>
    <xf numFmtId="173" fontId="7" fillId="0" borderId="79" xfId="0" applyNumberFormat="1" applyFont="1" applyBorder="1" applyAlignment="1" applyProtection="1">
      <alignment horizontal="center"/>
      <protection locked="0"/>
    </xf>
    <xf numFmtId="0" fontId="7" fillId="0" borderId="23" xfId="0" applyFont="1" applyBorder="1" applyAlignment="1" applyProtection="1">
      <alignment horizontal="centerContinuous"/>
      <protection locked="0"/>
    </xf>
    <xf numFmtId="0" fontId="1" fillId="0" borderId="37" xfId="0" applyFont="1" applyBorder="1" applyAlignment="1" applyProtection="1">
      <alignment horizontal="centerContinuous"/>
      <protection locked="0"/>
    </xf>
    <xf numFmtId="0" fontId="102" fillId="0" borderId="16" xfId="0" applyFont="1" applyBorder="1" applyAlignment="1" applyProtection="1">
      <alignment horizontal="centerContinuous"/>
      <protection locked="0"/>
    </xf>
    <xf numFmtId="0" fontId="102" fillId="0" borderId="10" xfId="0" applyFont="1" applyBorder="1" applyProtection="1">
      <protection locked="0"/>
    </xf>
    <xf numFmtId="0" fontId="1" fillId="0" borderId="200" xfId="0" applyFont="1" applyBorder="1" applyAlignment="1" applyProtection="1">
      <alignment horizontal="centerContinuous"/>
      <protection locked="0"/>
    </xf>
    <xf numFmtId="0" fontId="1" fillId="0" borderId="124" xfId="0" applyFont="1" applyBorder="1" applyAlignment="1" applyProtection="1">
      <alignment horizontal="centerContinuous"/>
      <protection locked="0"/>
    </xf>
    <xf numFmtId="0" fontId="7" fillId="0" borderId="180" xfId="0" applyFont="1" applyBorder="1" applyAlignment="1" applyProtection="1">
      <alignment horizontal="center"/>
      <protection locked="0"/>
    </xf>
    <xf numFmtId="173" fontId="7" fillId="0" borderId="179" xfId="0" applyNumberFormat="1" applyFont="1" applyBorder="1" applyAlignment="1" applyProtection="1">
      <alignment horizontal="center"/>
      <protection locked="0"/>
    </xf>
    <xf numFmtId="0" fontId="1" fillId="0" borderId="9" xfId="0" applyFont="1" applyBorder="1" applyAlignment="1" applyProtection="1">
      <alignment horizontal="center"/>
      <protection locked="0"/>
    </xf>
    <xf numFmtId="0" fontId="101" fillId="0" borderId="35" xfId="0" applyFont="1" applyBorder="1" applyAlignment="1" applyProtection="1">
      <protection locked="0"/>
    </xf>
    <xf numFmtId="0" fontId="7" fillId="0" borderId="10" xfId="0" applyFont="1" applyBorder="1" applyAlignment="1" applyProtection="1">
      <protection locked="0"/>
    </xf>
    <xf numFmtId="173" fontId="1" fillId="0" borderId="79" xfId="0" applyNumberFormat="1" applyFont="1" applyBorder="1" applyAlignment="1" applyProtection="1">
      <alignment horizontal="center"/>
      <protection locked="0"/>
    </xf>
    <xf numFmtId="0" fontId="1" fillId="11" borderId="2" xfId="0" applyFont="1" applyFill="1" applyBorder="1" applyProtection="1">
      <protection locked="0"/>
    </xf>
    <xf numFmtId="0" fontId="1" fillId="11" borderId="0" xfId="0" applyFont="1" applyFill="1" applyBorder="1" applyProtection="1">
      <protection locked="0"/>
    </xf>
    <xf numFmtId="0" fontId="1" fillId="11" borderId="0" xfId="0" applyFont="1" applyFill="1" applyProtection="1">
      <protection locked="0"/>
    </xf>
    <xf numFmtId="0" fontId="7" fillId="0" borderId="78" xfId="0" applyFont="1" applyBorder="1" applyAlignment="1" applyProtection="1">
      <protection locked="0"/>
    </xf>
    <xf numFmtId="173" fontId="7" fillId="0" borderId="26" xfId="0" applyNumberFormat="1" applyFont="1" applyBorder="1" applyAlignment="1" applyProtection="1">
      <alignment horizontal="center"/>
      <protection locked="0"/>
    </xf>
    <xf numFmtId="0" fontId="7" fillId="11" borderId="4" xfId="0" applyFont="1" applyFill="1" applyBorder="1" applyProtection="1">
      <protection locked="0"/>
    </xf>
    <xf numFmtId="0" fontId="7" fillId="0" borderId="99" xfId="0" applyFont="1" applyBorder="1" applyProtection="1">
      <protection locked="0"/>
    </xf>
    <xf numFmtId="4" fontId="7" fillId="0" borderId="120" xfId="0" applyNumberFormat="1" applyFont="1" applyBorder="1" applyAlignment="1" applyProtection="1">
      <alignment horizontal="center"/>
      <protection locked="0"/>
    </xf>
    <xf numFmtId="0" fontId="103" fillId="0" borderId="0" xfId="0" applyFont="1" applyAlignment="1" applyProtection="1">
      <alignment horizontal="left" vertical="center" indent="1"/>
      <protection locked="0"/>
    </xf>
    <xf numFmtId="0" fontId="104" fillId="0" borderId="0" xfId="0" applyFont="1" applyAlignment="1" applyProtection="1">
      <alignment horizontal="left" vertical="center" indent="1"/>
      <protection locked="0"/>
    </xf>
    <xf numFmtId="0" fontId="105" fillId="0" borderId="0" xfId="0" applyFont="1" applyAlignment="1" applyProtection="1">
      <alignment horizontal="justify" vertical="center"/>
      <protection locked="0"/>
    </xf>
    <xf numFmtId="0" fontId="98" fillId="0" borderId="0" xfId="0" applyFont="1" applyProtection="1">
      <protection locked="0"/>
    </xf>
    <xf numFmtId="9" fontId="1" fillId="0" borderId="181" xfId="0" applyNumberFormat="1" applyFont="1" applyBorder="1" applyAlignment="1" applyProtection="1">
      <alignment horizontal="center"/>
    </xf>
    <xf numFmtId="10" fontId="88" fillId="0" borderId="110" xfId="0" applyNumberFormat="1" applyFont="1" applyFill="1" applyBorder="1" applyAlignment="1" applyProtection="1">
      <alignment vertical="center"/>
    </xf>
    <xf numFmtId="2" fontId="66" fillId="3" borderId="12" xfId="0" applyNumberFormat="1" applyFont="1" applyFill="1" applyBorder="1" applyAlignment="1" applyProtection="1">
      <alignment horizontal="center" vertical="center"/>
      <protection locked="0"/>
    </xf>
    <xf numFmtId="10" fontId="88" fillId="0" borderId="110" xfId="0" applyNumberFormat="1" applyFont="1" applyFill="1" applyBorder="1" applyAlignment="1" applyProtection="1">
      <alignment horizontal="center" vertical="center"/>
    </xf>
    <xf numFmtId="0" fontId="9" fillId="0" borderId="78" xfId="0" applyFont="1" applyFill="1" applyBorder="1" applyAlignment="1">
      <alignment vertical="top" wrapText="1"/>
    </xf>
    <xf numFmtId="0" fontId="0" fillId="0" borderId="37" xfId="0" applyBorder="1" applyAlignment="1">
      <alignment vertical="top" wrapText="1"/>
    </xf>
    <xf numFmtId="0" fontId="16" fillId="0" borderId="158" xfId="0" applyFont="1" applyFill="1" applyBorder="1" applyAlignment="1" applyProtection="1">
      <alignment horizontal="right" vertical="center" wrapText="1"/>
    </xf>
    <xf numFmtId="0" fontId="16" fillId="0" borderId="137" xfId="0" applyFont="1" applyBorder="1" applyAlignment="1" applyProtection="1">
      <alignment horizontal="right" vertical="center"/>
    </xf>
    <xf numFmtId="173" fontId="17" fillId="0" borderId="156" xfId="0" applyNumberFormat="1" applyFont="1" applyFill="1" applyBorder="1" applyAlignment="1" applyProtection="1">
      <alignment horizontal="right" vertical="center" wrapText="1"/>
    </xf>
    <xf numFmtId="173" fontId="15" fillId="0" borderId="157" xfId="0" applyNumberFormat="1" applyFont="1" applyBorder="1" applyAlignment="1" applyProtection="1">
      <alignment horizontal="right" vertical="center" wrapText="1"/>
    </xf>
    <xf numFmtId="173" fontId="17" fillId="6" borderId="159" xfId="0" applyNumberFormat="1" applyFont="1" applyFill="1" applyBorder="1" applyAlignment="1" applyProtection="1">
      <alignment horizontal="right" vertical="center" wrapText="1"/>
    </xf>
    <xf numFmtId="173" fontId="14" fillId="6" borderId="144" xfId="0" applyNumberFormat="1" applyFont="1" applyFill="1" applyBorder="1" applyAlignment="1" applyProtection="1">
      <alignment horizontal="right" vertical="center"/>
    </xf>
    <xf numFmtId="0" fontId="26" fillId="0" borderId="63" xfId="0" applyFont="1" applyFill="1" applyBorder="1" applyAlignment="1" applyProtection="1">
      <alignment horizontal="left" vertical="center" wrapText="1"/>
    </xf>
    <xf numFmtId="0" fontId="64" fillId="0" borderId="76" xfId="0" applyFont="1" applyBorder="1" applyAlignment="1" applyProtection="1">
      <alignment horizontal="left" vertical="center"/>
    </xf>
    <xf numFmtId="0" fontId="64" fillId="0" borderId="76" xfId="0" applyFont="1" applyBorder="1" applyAlignment="1" applyProtection="1">
      <alignment vertical="center"/>
    </xf>
    <xf numFmtId="173" fontId="17" fillId="0" borderId="74" xfId="0" applyNumberFormat="1" applyFont="1" applyFill="1" applyBorder="1" applyAlignment="1" applyProtection="1">
      <alignment horizontal="right" vertical="center" wrapText="1"/>
    </xf>
    <xf numFmtId="173" fontId="15" fillId="0" borderId="68" xfId="0" applyNumberFormat="1" applyFont="1" applyBorder="1" applyAlignment="1" applyProtection="1">
      <alignment horizontal="right" vertical="center" wrapText="1"/>
    </xf>
    <xf numFmtId="0" fontId="14" fillId="0" borderId="68" xfId="0" applyFont="1" applyBorder="1" applyAlignment="1" applyProtection="1">
      <alignment horizontal="right" vertical="center"/>
    </xf>
    <xf numFmtId="173" fontId="17" fillId="6" borderId="74" xfId="0" applyNumberFormat="1" applyFont="1" applyFill="1" applyBorder="1" applyAlignment="1" applyProtection="1">
      <alignment horizontal="right" vertical="center" wrapText="1"/>
    </xf>
    <xf numFmtId="173" fontId="14" fillId="6" borderId="68" xfId="0" applyNumberFormat="1" applyFont="1" applyFill="1" applyBorder="1" applyAlignment="1" applyProtection="1">
      <alignment horizontal="right" vertical="center" wrapText="1"/>
    </xf>
    <xf numFmtId="0" fontId="14" fillId="6" borderId="68" xfId="0" applyFont="1" applyFill="1" applyBorder="1" applyAlignment="1" applyProtection="1">
      <alignment horizontal="right" vertical="center"/>
    </xf>
    <xf numFmtId="0" fontId="16" fillId="0" borderId="56"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57" xfId="0" applyFont="1" applyBorder="1" applyAlignment="1" applyProtection="1">
      <alignment horizontal="left" vertical="center" wrapText="1"/>
    </xf>
    <xf numFmtId="0" fontId="16" fillId="0" borderId="149" xfId="0" applyFont="1" applyFill="1" applyBorder="1" applyAlignment="1" applyProtection="1">
      <alignment horizontal="right" vertical="center" wrapText="1"/>
    </xf>
    <xf numFmtId="0" fontId="16" fillId="0" borderId="132" xfId="0" applyFont="1" applyFill="1" applyBorder="1" applyAlignment="1" applyProtection="1">
      <alignment horizontal="right" vertical="center" wrapText="1"/>
    </xf>
    <xf numFmtId="0" fontId="16" fillId="0" borderId="132" xfId="0" applyFont="1" applyBorder="1" applyAlignment="1" applyProtection="1">
      <alignment horizontal="right" vertical="center" wrapText="1"/>
    </xf>
    <xf numFmtId="0" fontId="16" fillId="0" borderId="160" xfId="0" applyFont="1" applyBorder="1" applyAlignment="1" applyProtection="1">
      <alignment horizontal="right" vertical="center" wrapText="1"/>
    </xf>
    <xf numFmtId="173" fontId="27" fillId="8" borderId="161" xfId="0" applyNumberFormat="1" applyFont="1" applyFill="1" applyBorder="1" applyAlignment="1" applyProtection="1">
      <alignment horizontal="center" vertical="center" wrapText="1"/>
    </xf>
    <xf numFmtId="173" fontId="14" fillId="0" borderId="162" xfId="0" applyNumberFormat="1" applyFont="1" applyBorder="1" applyAlignment="1" applyProtection="1">
      <alignment horizontal="center" vertical="center" wrapText="1"/>
    </xf>
    <xf numFmtId="0" fontId="14" fillId="0" borderId="163" xfId="0" applyFont="1" applyBorder="1" applyAlignment="1" applyProtection="1">
      <alignment horizontal="center" vertical="center" wrapText="1"/>
    </xf>
    <xf numFmtId="0" fontId="46" fillId="8" borderId="74" xfId="0" applyFont="1" applyFill="1" applyBorder="1" applyAlignment="1" applyProtection="1">
      <alignment horizontal="center" vertical="center" wrapText="1"/>
    </xf>
    <xf numFmtId="0" fontId="49" fillId="0" borderId="68" xfId="0" applyFont="1" applyBorder="1" applyAlignment="1">
      <alignment horizontal="center" vertical="center" wrapText="1"/>
    </xf>
    <xf numFmtId="0" fontId="49" fillId="0" borderId="69" xfId="0" applyFont="1" applyBorder="1" applyAlignment="1">
      <alignment horizontal="center" vertical="center" wrapText="1"/>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5" xfId="0" applyFont="1" applyFill="1" applyBorder="1" applyAlignment="1">
      <alignment vertical="center"/>
    </xf>
    <xf numFmtId="0" fontId="16" fillId="0" borderId="81" xfId="0" applyFont="1" applyFill="1" applyBorder="1" applyAlignment="1" applyProtection="1">
      <alignment horizontal="right" vertical="center"/>
    </xf>
    <xf numFmtId="0" fontId="14" fillId="0" borderId="150" xfId="0" applyFont="1" applyBorder="1" applyAlignment="1" applyProtection="1">
      <alignment horizontal="right" vertical="center"/>
    </xf>
    <xf numFmtId="0" fontId="14" fillId="0" borderId="151" xfId="0" applyFont="1" applyBorder="1" applyAlignment="1">
      <alignment horizontal="right" vertical="center"/>
    </xf>
    <xf numFmtId="0" fontId="16" fillId="0" borderId="230" xfId="0" applyFont="1" applyFill="1" applyBorder="1" applyAlignment="1" applyProtection="1">
      <alignment horizontal="right" vertical="center"/>
    </xf>
    <xf numFmtId="0" fontId="14" fillId="0" borderId="231" xfId="0" applyFont="1" applyBorder="1" applyAlignment="1">
      <alignment horizontal="right" vertical="center"/>
    </xf>
    <xf numFmtId="0" fontId="14" fillId="0" borderId="232" xfId="0" applyFont="1" applyBorder="1" applyAlignment="1">
      <alignment horizontal="right" vertical="center"/>
    </xf>
    <xf numFmtId="0" fontId="31" fillId="0" borderId="25"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5"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6" xfId="0" applyFont="1" applyBorder="1" applyAlignment="1" applyProtection="1">
      <alignment vertical="center" wrapText="1"/>
    </xf>
    <xf numFmtId="49" fontId="17" fillId="0" borderId="78" xfId="0" applyNumberFormat="1" applyFont="1" applyFill="1" applyBorder="1" applyAlignment="1" applyProtection="1">
      <alignment vertical="center"/>
    </xf>
    <xf numFmtId="0" fontId="14" fillId="0" borderId="39" xfId="0" applyFont="1" applyFill="1" applyBorder="1" applyAlignment="1" applyProtection="1">
      <alignment vertical="center"/>
    </xf>
    <xf numFmtId="0" fontId="17" fillId="2" borderId="78" xfId="0" applyFont="1" applyFill="1" applyBorder="1" applyAlignment="1" applyProtection="1">
      <alignment vertical="center"/>
      <protection locked="0"/>
    </xf>
    <xf numFmtId="0" fontId="14" fillId="0" borderId="39" xfId="0" applyFont="1" applyBorder="1" applyAlignment="1" applyProtection="1">
      <alignment vertical="center"/>
      <protection locked="0"/>
    </xf>
    <xf numFmtId="49" fontId="17" fillId="2" borderId="78" xfId="0" applyNumberFormat="1" applyFont="1" applyFill="1" applyBorder="1" applyAlignment="1" applyProtection="1">
      <alignment vertical="center"/>
      <protection locked="0"/>
    </xf>
    <xf numFmtId="49" fontId="17" fillId="2" borderId="78" xfId="0" applyNumberFormat="1" applyFont="1" applyFill="1" applyBorder="1" applyAlignment="1" applyProtection="1">
      <alignment horizontal="left" vertical="center"/>
      <protection locked="0"/>
    </xf>
    <xf numFmtId="0" fontId="14" fillId="0" borderId="39" xfId="0" applyFont="1" applyBorder="1" applyAlignment="1" applyProtection="1">
      <alignment horizontal="left" vertical="center"/>
      <protection locked="0"/>
    </xf>
    <xf numFmtId="0" fontId="29" fillId="12" borderId="12" xfId="0" applyFont="1" applyFill="1" applyBorder="1" applyAlignment="1" applyProtection="1">
      <alignment horizontal="center" vertical="center"/>
      <protection locked="0"/>
    </xf>
    <xf numFmtId="0" fontId="14" fillId="12" borderId="28" xfId="0" applyFont="1" applyFill="1" applyBorder="1" applyAlignment="1" applyProtection="1">
      <alignment vertical="center"/>
      <protection locked="0"/>
    </xf>
    <xf numFmtId="49" fontId="39" fillId="2" borderId="12" xfId="0" applyNumberFormat="1" applyFont="1" applyFill="1" applyBorder="1" applyAlignment="1" applyProtection="1">
      <alignment vertical="center"/>
      <protection locked="0"/>
    </xf>
    <xf numFmtId="0" fontId="53" fillId="0" borderId="26" xfId="0" applyFont="1" applyBorder="1" applyAlignment="1" applyProtection="1">
      <alignment vertical="center"/>
      <protection locked="0"/>
    </xf>
    <xf numFmtId="0" fontId="17" fillId="18" borderId="35" xfId="0" applyFont="1" applyFill="1" applyBorder="1" applyAlignment="1" applyProtection="1">
      <alignment horizontal="center" vertical="center"/>
    </xf>
    <xf numFmtId="0" fontId="91" fillId="18" borderId="37" xfId="0" applyFont="1" applyFill="1" applyBorder="1" applyAlignment="1">
      <alignment horizontal="center" vertical="center"/>
    </xf>
    <xf numFmtId="0" fontId="91" fillId="18" borderId="36" xfId="0" applyFont="1" applyFill="1" applyBorder="1" applyAlignment="1">
      <alignment horizontal="center" vertical="center"/>
    </xf>
    <xf numFmtId="49" fontId="17" fillId="2" borderId="35" xfId="0" applyNumberFormat="1" applyFont="1" applyFill="1" applyBorder="1" applyAlignment="1" applyProtection="1">
      <alignment vertical="center"/>
      <protection locked="0"/>
    </xf>
    <xf numFmtId="49" fontId="17" fillId="2" borderId="10" xfId="0" applyNumberFormat="1" applyFont="1" applyFill="1" applyBorder="1" applyAlignment="1" applyProtection="1">
      <alignment vertical="center"/>
      <protection locked="0"/>
    </xf>
    <xf numFmtId="49" fontId="17" fillId="2" borderId="73" xfId="0" applyNumberFormat="1" applyFont="1" applyFill="1" applyBorder="1" applyAlignment="1" applyProtection="1">
      <alignment vertical="center"/>
      <protection locked="0"/>
    </xf>
    <xf numFmtId="0" fontId="60" fillId="5" borderId="0" xfId="0" applyFont="1" applyFill="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5" xfId="0" applyFont="1" applyBorder="1" applyAlignment="1">
      <alignment vertical="center" wrapText="1"/>
    </xf>
    <xf numFmtId="0" fontId="61" fillId="0" borderId="0" xfId="0" applyFont="1" applyBorder="1" applyAlignment="1">
      <alignment vertical="center" wrapText="1"/>
    </xf>
    <xf numFmtId="0" fontId="37" fillId="0" borderId="156" xfId="0" applyFont="1" applyFill="1" applyBorder="1" applyAlignment="1" applyProtection="1">
      <alignment horizontal="center" vertical="center" wrapText="1"/>
    </xf>
    <xf numFmtId="0" fontId="14" fillId="0" borderId="157" xfId="0" applyFont="1" applyBorder="1" applyAlignment="1" applyProtection="1">
      <alignment horizontal="center" vertical="center" wrapText="1"/>
    </xf>
    <xf numFmtId="0" fontId="17" fillId="16" borderId="121" xfId="0" applyFont="1" applyFill="1" applyBorder="1" applyAlignment="1" applyProtection="1">
      <alignment horizontal="center" vertical="center" wrapText="1"/>
    </xf>
    <xf numFmtId="0" fontId="16" fillId="16" borderId="122" xfId="0" applyFont="1" applyFill="1" applyBorder="1" applyAlignment="1" applyProtection="1">
      <alignment vertical="center"/>
    </xf>
    <xf numFmtId="0" fontId="36" fillId="0" borderId="108" xfId="0" applyFont="1" applyFill="1" applyBorder="1" applyAlignment="1" applyProtection="1">
      <alignment horizontal="center" vertical="center" wrapText="1"/>
      <protection locked="0"/>
    </xf>
    <xf numFmtId="0" fontId="77" fillId="0" borderId="20" xfId="0" applyFont="1" applyFill="1" applyBorder="1" applyAlignment="1" applyProtection="1">
      <alignment horizontal="center" vertical="center" wrapText="1"/>
      <protection locked="0"/>
    </xf>
    <xf numFmtId="0" fontId="77" fillId="0" borderId="42" xfId="0" applyFont="1" applyFill="1" applyBorder="1" applyAlignment="1" applyProtection="1">
      <alignment horizontal="center" vertical="center" wrapText="1"/>
      <protection locked="0"/>
    </xf>
    <xf numFmtId="0" fontId="77" fillId="0" borderId="5" xfId="0" applyFont="1" applyFill="1" applyBorder="1" applyAlignment="1" applyProtection="1">
      <alignment horizontal="center" vertical="center" wrapText="1"/>
      <protection locked="0"/>
    </xf>
    <xf numFmtId="0" fontId="77" fillId="0" borderId="35" xfId="0" applyFont="1" applyFill="1" applyBorder="1" applyAlignment="1" applyProtection="1">
      <alignment horizontal="center" vertical="center" wrapText="1"/>
      <protection locked="0"/>
    </xf>
    <xf numFmtId="0" fontId="77" fillId="0" borderId="73" xfId="0" applyFont="1" applyFill="1" applyBorder="1" applyAlignment="1" applyProtection="1">
      <alignment horizontal="center" vertical="center" wrapText="1"/>
      <protection locked="0"/>
    </xf>
    <xf numFmtId="0" fontId="58" fillId="0" borderId="2" xfId="0" applyFont="1" applyBorder="1" applyAlignment="1" applyProtection="1">
      <alignment horizontal="center" vertical="center" wrapText="1"/>
      <protection locked="0"/>
    </xf>
    <xf numFmtId="0" fontId="76" fillId="0" borderId="0" xfId="0" applyFont="1" applyBorder="1" applyAlignment="1" applyProtection="1">
      <alignment horizontal="center" vertical="center" wrapText="1"/>
      <protection locked="0"/>
    </xf>
    <xf numFmtId="0" fontId="76" fillId="0" borderId="2" xfId="0" applyFont="1" applyBorder="1" applyAlignment="1" applyProtection="1">
      <alignment horizontal="center" vertical="center" wrapText="1"/>
      <protection locked="0"/>
    </xf>
    <xf numFmtId="49" fontId="117" fillId="2" borderId="78" xfId="13" applyNumberFormat="1" applyFont="1" applyFill="1" applyBorder="1" applyAlignment="1" applyProtection="1">
      <alignment vertical="center"/>
      <protection locked="0"/>
    </xf>
    <xf numFmtId="49" fontId="14" fillId="0" borderId="38" xfId="0" applyNumberFormat="1" applyFont="1" applyBorder="1" applyAlignment="1" applyProtection="1">
      <alignment vertical="center"/>
      <protection locked="0"/>
    </xf>
    <xf numFmtId="49" fontId="17" fillId="2" borderId="12" xfId="0" applyNumberFormat="1" applyFont="1" applyFill="1" applyBorder="1" applyAlignment="1" applyProtection="1">
      <alignment vertical="center"/>
      <protection locked="0"/>
    </xf>
    <xf numFmtId="49" fontId="14" fillId="0" borderId="12" xfId="0" applyNumberFormat="1" applyFont="1" applyBorder="1" applyAlignment="1" applyProtection="1">
      <alignment vertical="center"/>
      <protection locked="0"/>
    </xf>
    <xf numFmtId="49" fontId="17" fillId="2" borderId="107" xfId="0" applyNumberFormat="1" applyFont="1" applyFill="1" applyBorder="1" applyAlignment="1" applyProtection="1">
      <alignment vertical="center"/>
      <protection locked="0"/>
    </xf>
    <xf numFmtId="49" fontId="15" fillId="0" borderId="55" xfId="0" applyNumberFormat="1" applyFont="1" applyBorder="1" applyAlignment="1" applyProtection="1">
      <alignment vertical="center"/>
      <protection locked="0"/>
    </xf>
    <xf numFmtId="0" fontId="95" fillId="12" borderId="78" xfId="0" applyFont="1" applyFill="1" applyBorder="1" applyAlignment="1" applyProtection="1">
      <alignment vertical="center"/>
    </xf>
    <xf numFmtId="0" fontId="0" fillId="0" borderId="37" xfId="0" applyBorder="1" applyAlignment="1" applyProtection="1">
      <alignment vertical="center"/>
    </xf>
    <xf numFmtId="0" fontId="0" fillId="0" borderId="39" xfId="0" applyBorder="1" applyAlignment="1" applyProtection="1">
      <alignment vertical="center"/>
    </xf>
    <xf numFmtId="49" fontId="17" fillId="2" borderId="12" xfId="0" applyNumberFormat="1" applyFont="1" applyFill="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0" fontId="16" fillId="0" borderId="80" xfId="0" applyFont="1" applyFill="1" applyBorder="1" applyAlignment="1" applyProtection="1">
      <alignment horizontal="right" vertical="center" wrapText="1"/>
    </xf>
    <xf numFmtId="0" fontId="14" fillId="0" borderId="147" xfId="0" applyFont="1" applyBorder="1" applyAlignment="1" applyProtection="1">
      <alignment horizontal="right" vertical="center" wrapText="1"/>
    </xf>
    <xf numFmtId="0" fontId="14" fillId="0" borderId="148" xfId="0" applyFont="1" applyBorder="1" applyAlignment="1">
      <alignment horizontal="right" vertical="center"/>
    </xf>
    <xf numFmtId="0" fontId="27" fillId="8" borderId="63" xfId="0" applyFont="1" applyFill="1" applyBorder="1" applyAlignment="1" applyProtection="1">
      <alignment horizontal="center" vertical="center" wrapText="1"/>
    </xf>
    <xf numFmtId="0" fontId="27" fillId="8" borderId="76" xfId="0" applyFont="1" applyFill="1" applyBorder="1" applyAlignment="1" applyProtection="1">
      <alignment horizontal="center" vertical="center" wrapText="1"/>
    </xf>
    <xf numFmtId="49" fontId="17" fillId="2" borderId="71" xfId="0" applyNumberFormat="1" applyFont="1" applyFill="1" applyBorder="1" applyAlignment="1" applyProtection="1">
      <alignment vertical="center"/>
      <protection locked="0"/>
    </xf>
    <xf numFmtId="0" fontId="14" fillId="0" borderId="140"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40" xfId="0" applyBorder="1" applyAlignment="1" applyProtection="1">
      <alignment vertical="center"/>
      <protection locked="0"/>
    </xf>
    <xf numFmtId="0" fontId="17" fillId="13" borderId="154" xfId="0" applyFont="1" applyFill="1" applyBorder="1" applyAlignment="1" applyProtection="1">
      <alignment horizontal="center" vertical="center" wrapText="1"/>
    </xf>
    <xf numFmtId="0" fontId="16" fillId="13" borderId="155" xfId="0" applyFont="1" applyFill="1" applyBorder="1" applyAlignment="1" applyProtection="1">
      <alignment horizontal="center" vertical="center" wrapText="1"/>
    </xf>
    <xf numFmtId="0" fontId="17" fillId="16" borderId="72" xfId="0" applyFont="1" applyFill="1" applyBorder="1" applyAlignment="1" applyProtection="1">
      <alignment horizontal="center" vertical="center" wrapText="1"/>
    </xf>
    <xf numFmtId="0" fontId="16" fillId="16" borderId="3" xfId="0" applyFont="1" applyFill="1" applyBorder="1" applyAlignment="1" applyProtection="1">
      <alignment horizontal="center" vertical="center" wrapText="1"/>
    </xf>
    <xf numFmtId="0" fontId="16" fillId="0" borderId="25"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12" xfId="0" applyFont="1" applyBorder="1" applyAlignment="1" applyProtection="1">
      <alignment horizontal="right" vertical="center"/>
    </xf>
    <xf numFmtId="0" fontId="17" fillId="2" borderId="78" xfId="0" applyFont="1" applyFill="1" applyBorder="1" applyAlignment="1" applyProtection="1">
      <alignment vertical="center"/>
    </xf>
    <xf numFmtId="0" fontId="14" fillId="0" borderId="39" xfId="0" applyFont="1" applyBorder="1" applyAlignment="1" applyProtection="1">
      <alignment vertical="center"/>
    </xf>
    <xf numFmtId="0" fontId="17" fillId="7" borderId="154" xfId="0" applyFont="1" applyFill="1" applyBorder="1" applyAlignment="1" applyProtection="1">
      <alignment horizontal="center" vertical="top" wrapText="1"/>
    </xf>
    <xf numFmtId="0" fontId="16" fillId="0" borderId="155" xfId="0" applyFont="1" applyBorder="1" applyAlignment="1" applyProtection="1">
      <alignment horizontal="center" vertical="top" wrapText="1"/>
    </xf>
    <xf numFmtId="49" fontId="17" fillId="2" borderId="71" xfId="0" applyNumberFormat="1" applyFont="1" applyFill="1" applyBorder="1" applyAlignment="1" applyProtection="1">
      <alignment vertical="center"/>
    </xf>
    <xf numFmtId="0" fontId="14" fillId="0" borderId="140" xfId="0" applyFont="1" applyBorder="1" applyAlignment="1" applyProtection="1">
      <alignment vertical="center"/>
    </xf>
    <xf numFmtId="0" fontId="14" fillId="0" borderId="148" xfId="0" applyFont="1" applyBorder="1" applyAlignment="1" applyProtection="1">
      <alignment horizontal="right" vertical="center"/>
    </xf>
    <xf numFmtId="0" fontId="49" fillId="0" borderId="68" xfId="0" applyFont="1" applyBorder="1" applyAlignment="1" applyProtection="1">
      <alignment horizontal="center" vertical="center" wrapText="1"/>
    </xf>
    <xf numFmtId="0" fontId="49" fillId="0" borderId="69" xfId="0" applyFont="1" applyBorder="1" applyAlignment="1" applyProtection="1">
      <alignment horizontal="center" vertical="center" wrapText="1"/>
    </xf>
    <xf numFmtId="0" fontId="14" fillId="0" borderId="5" xfId="0" applyFont="1" applyFill="1" applyBorder="1" applyAlignment="1" applyProtection="1">
      <alignment vertical="center"/>
    </xf>
    <xf numFmtId="0" fontId="16" fillId="0" borderId="23" xfId="0" applyFont="1" applyFill="1" applyBorder="1" applyAlignment="1" applyProtection="1">
      <alignment horizontal="right" vertical="center" wrapText="1"/>
    </xf>
    <xf numFmtId="0" fontId="16" fillId="0" borderId="37" xfId="0" applyFont="1" applyBorder="1" applyAlignment="1" applyProtection="1">
      <alignment horizontal="right" vertical="center" wrapText="1"/>
    </xf>
    <xf numFmtId="0" fontId="14" fillId="0" borderId="151" xfId="0" applyFont="1" applyBorder="1" applyAlignment="1" applyProtection="1">
      <alignment horizontal="right" vertical="center"/>
    </xf>
    <xf numFmtId="49" fontId="17" fillId="2" borderId="78" xfId="0" applyNumberFormat="1" applyFont="1" applyFill="1" applyBorder="1" applyAlignment="1" applyProtection="1">
      <alignment horizontal="left" vertical="center"/>
    </xf>
    <xf numFmtId="0" fontId="61" fillId="0" borderId="5" xfId="0" applyFont="1" applyBorder="1" applyAlignment="1" applyProtection="1">
      <alignment vertical="center" wrapText="1"/>
    </xf>
    <xf numFmtId="0" fontId="61" fillId="0" borderId="0" xfId="0" applyFont="1" applyBorder="1" applyAlignment="1" applyProtection="1">
      <alignment vertical="center" wrapText="1"/>
    </xf>
    <xf numFmtId="0" fontId="37" fillId="0" borderId="161" xfId="0" applyFont="1" applyFill="1" applyBorder="1" applyAlignment="1" applyProtection="1">
      <alignment horizontal="center" vertical="center" wrapText="1"/>
    </xf>
    <xf numFmtId="0" fontId="14" fillId="0" borderId="162" xfId="0" applyFont="1" applyBorder="1" applyAlignment="1" applyProtection="1">
      <alignment horizontal="center" vertical="center" wrapText="1"/>
    </xf>
    <xf numFmtId="0" fontId="14" fillId="0" borderId="166" xfId="0" applyFont="1" applyBorder="1" applyAlignment="1" applyProtection="1">
      <alignment horizontal="center" vertical="center" wrapText="1"/>
    </xf>
    <xf numFmtId="0" fontId="17" fillId="8" borderId="121" xfId="0" applyFont="1" applyFill="1" applyBorder="1" applyAlignment="1" applyProtection="1">
      <alignment horizontal="center" vertical="top" wrapText="1"/>
    </xf>
    <xf numFmtId="0" fontId="16" fillId="0" borderId="122" xfId="0" applyFont="1" applyBorder="1" applyAlignment="1" applyProtection="1">
      <alignment vertical="top"/>
    </xf>
    <xf numFmtId="0" fontId="36" fillId="0" borderId="108" xfId="0" applyFont="1" applyFill="1" applyBorder="1" applyAlignment="1" applyProtection="1">
      <alignment horizontal="center" vertical="center" wrapText="1"/>
    </xf>
    <xf numFmtId="0" fontId="77" fillId="0" borderId="20" xfId="0" applyFont="1" applyFill="1" applyBorder="1" applyAlignment="1" applyProtection="1">
      <alignment horizontal="center" vertical="center" wrapText="1"/>
    </xf>
    <xf numFmtId="0" fontId="77" fillId="0" borderId="42" xfId="0" applyFont="1" applyFill="1" applyBorder="1" applyAlignment="1" applyProtection="1">
      <alignment horizontal="center" vertical="center" wrapText="1"/>
    </xf>
    <xf numFmtId="0" fontId="77" fillId="0" borderId="5" xfId="0" applyFont="1" applyFill="1" applyBorder="1" applyAlignment="1" applyProtection="1">
      <alignment horizontal="center" vertical="center" wrapText="1"/>
    </xf>
    <xf numFmtId="0" fontId="77" fillId="0" borderId="35" xfId="0" applyFont="1" applyFill="1" applyBorder="1" applyAlignment="1" applyProtection="1">
      <alignment horizontal="center" vertical="center" wrapText="1"/>
    </xf>
    <xf numFmtId="0" fontId="77" fillId="0" borderId="73" xfId="0" applyFont="1" applyFill="1" applyBorder="1" applyAlignment="1" applyProtection="1">
      <alignment horizontal="center" vertical="center" wrapText="1"/>
    </xf>
    <xf numFmtId="0" fontId="16" fillId="0" borderId="167" xfId="0" applyFont="1" applyFill="1" applyBorder="1" applyAlignment="1" applyProtection="1">
      <alignment horizontal="right" vertical="center" wrapText="1"/>
    </xf>
    <xf numFmtId="0" fontId="16" fillId="0" borderId="168" xfId="0" applyFont="1" applyBorder="1" applyAlignment="1" applyProtection="1">
      <alignment horizontal="right" vertical="center" wrapText="1"/>
    </xf>
    <xf numFmtId="0" fontId="16" fillId="0" borderId="37" xfId="0" applyFont="1" applyBorder="1" applyAlignment="1" applyProtection="1">
      <alignment horizontal="right" vertical="center"/>
    </xf>
    <xf numFmtId="0" fontId="27" fillId="8" borderId="58" xfId="0" applyFont="1" applyFill="1" applyBorder="1" applyAlignment="1" applyProtection="1">
      <alignment horizontal="center" vertical="center" wrapText="1"/>
    </xf>
    <xf numFmtId="0" fontId="27" fillId="8" borderId="59" xfId="0" applyFont="1" applyFill="1" applyBorder="1" applyAlignment="1" applyProtection="1">
      <alignment horizontal="center" vertical="center" wrapText="1"/>
    </xf>
    <xf numFmtId="49" fontId="17" fillId="2" borderId="78" xfId="0" applyNumberFormat="1" applyFont="1" applyFill="1" applyBorder="1" applyAlignment="1" applyProtection="1">
      <alignment vertical="center"/>
    </xf>
    <xf numFmtId="0" fontId="16" fillId="0" borderId="164" xfId="0" applyFont="1" applyFill="1" applyBorder="1" applyAlignment="1" applyProtection="1">
      <alignment horizontal="right" vertical="center" wrapText="1"/>
    </xf>
    <xf numFmtId="0" fontId="16" fillId="0" borderId="165" xfId="0" applyFont="1" applyBorder="1" applyAlignment="1" applyProtection="1">
      <alignment horizontal="right" vertical="center"/>
    </xf>
    <xf numFmtId="173" fontId="17" fillId="6" borderId="75" xfId="0" applyNumberFormat="1" applyFont="1" applyFill="1" applyBorder="1" applyAlignment="1" applyProtection="1">
      <alignment horizontal="right" vertical="center" wrapText="1"/>
    </xf>
    <xf numFmtId="173" fontId="14" fillId="6" borderId="19" xfId="0" applyNumberFormat="1" applyFont="1" applyFill="1" applyBorder="1" applyAlignment="1" applyProtection="1">
      <alignment horizontal="right" vertical="center"/>
    </xf>
    <xf numFmtId="0" fontId="16" fillId="0" borderId="8" xfId="0" applyFont="1" applyBorder="1" applyAlignment="1" applyProtection="1">
      <alignment horizontal="right" vertical="center" wrapText="1"/>
    </xf>
    <xf numFmtId="0" fontId="16" fillId="0" borderId="4" xfId="0" applyFont="1" applyBorder="1" applyAlignment="1" applyProtection="1">
      <alignment horizontal="right" vertical="center" wrapText="1"/>
    </xf>
    <xf numFmtId="0" fontId="58" fillId="0" borderId="2" xfId="0" applyFont="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76" fillId="0" borderId="2" xfId="0" applyFont="1" applyBorder="1" applyAlignment="1" applyProtection="1">
      <alignment horizontal="center" vertical="center" wrapText="1"/>
    </xf>
    <xf numFmtId="49" fontId="39" fillId="2" borderId="78" xfId="0" applyNumberFormat="1" applyFont="1" applyFill="1" applyBorder="1" applyAlignment="1" applyProtection="1">
      <alignment vertical="center"/>
    </xf>
    <xf numFmtId="0" fontId="14" fillId="0" borderId="38" xfId="0" applyFont="1" applyBorder="1" applyAlignment="1" applyProtection="1">
      <alignment vertical="center"/>
    </xf>
    <xf numFmtId="49" fontId="17" fillId="2" borderId="12" xfId="0" applyNumberFormat="1" applyFont="1" applyFill="1" applyBorder="1" applyAlignment="1" applyProtection="1">
      <alignment vertical="center"/>
    </xf>
    <xf numFmtId="0" fontId="14" fillId="0" borderId="12" xfId="0" applyFont="1" applyBorder="1" applyAlignment="1" applyProtection="1">
      <alignment vertical="center"/>
    </xf>
    <xf numFmtId="0" fontId="17" fillId="8" borderId="72" xfId="0" applyFont="1" applyFill="1" applyBorder="1" applyAlignment="1" applyProtection="1">
      <alignment horizontal="center" vertical="top" wrapText="1"/>
    </xf>
    <xf numFmtId="0" fontId="16" fillId="0" borderId="3" xfId="0" applyFont="1" applyBorder="1" applyAlignment="1" applyProtection="1">
      <alignment horizontal="center" vertical="top" wrapText="1"/>
    </xf>
    <xf numFmtId="0" fontId="16" fillId="0" borderId="85" xfId="0" applyFont="1" applyFill="1" applyBorder="1" applyAlignment="1" applyProtection="1">
      <alignment horizontal="right" vertical="center"/>
    </xf>
    <xf numFmtId="0" fontId="14" fillId="0" borderId="152" xfId="0" applyFont="1" applyBorder="1" applyAlignment="1" applyProtection="1">
      <alignment horizontal="right" vertical="center"/>
    </xf>
    <xf numFmtId="0" fontId="14" fillId="0" borderId="153" xfId="0" applyFont="1" applyBorder="1" applyAlignment="1" applyProtection="1">
      <alignment horizontal="right" vertical="center"/>
    </xf>
    <xf numFmtId="49" fontId="17" fillId="2" borderId="111" xfId="0" applyNumberFormat="1" applyFont="1" applyFill="1" applyBorder="1" applyAlignment="1" applyProtection="1">
      <alignment vertical="center"/>
    </xf>
    <xf numFmtId="0" fontId="15" fillId="0" borderId="101" xfId="0" applyFont="1" applyBorder="1" applyAlignment="1" applyProtection="1">
      <alignment vertical="center"/>
    </xf>
    <xf numFmtId="49" fontId="39" fillId="2" borderId="12" xfId="0" applyNumberFormat="1" applyFont="1" applyFill="1" applyBorder="1" applyAlignment="1" applyProtection="1">
      <alignment vertical="center"/>
    </xf>
    <xf numFmtId="0" fontId="53" fillId="0" borderId="26" xfId="0" applyFont="1" applyBorder="1" applyAlignment="1" applyProtection="1">
      <alignment vertical="center"/>
    </xf>
    <xf numFmtId="0" fontId="14" fillId="0" borderId="26" xfId="0" applyFont="1" applyBorder="1" applyAlignment="1" applyProtection="1">
      <alignment vertical="center"/>
    </xf>
    <xf numFmtId="49" fontId="17" fillId="2" borderId="6" xfId="0" applyNumberFormat="1" applyFont="1" applyFill="1" applyBorder="1" applyAlignment="1" applyProtection="1">
      <alignment vertical="center"/>
    </xf>
    <xf numFmtId="0" fontId="14" fillId="0" borderId="6" xfId="0" applyFont="1" applyBorder="1" applyAlignment="1" applyProtection="1">
      <alignment vertical="center"/>
    </xf>
    <xf numFmtId="0" fontId="14" fillId="0" borderId="79" xfId="0" applyFont="1" applyBorder="1" applyAlignment="1" applyProtection="1">
      <alignment vertical="center"/>
    </xf>
    <xf numFmtId="0" fontId="14" fillId="0" borderId="39" xfId="0" applyFont="1" applyBorder="1" applyAlignment="1" applyProtection="1">
      <alignment horizontal="left" vertical="center"/>
    </xf>
    <xf numFmtId="0" fontId="29" fillId="2" borderId="12" xfId="0" applyFont="1" applyFill="1" applyBorder="1" applyAlignment="1" applyProtection="1">
      <alignment horizontal="center" vertical="center"/>
      <protection locked="0"/>
    </xf>
    <xf numFmtId="0" fontId="14" fillId="0" borderId="28" xfId="0" applyFont="1" applyBorder="1" applyAlignment="1" applyProtection="1">
      <alignment vertical="center"/>
      <protection locked="0"/>
    </xf>
    <xf numFmtId="49" fontId="29" fillId="0" borderId="78" xfId="0" applyNumberFormat="1" applyFont="1" applyFill="1" applyBorder="1" applyAlignment="1" applyProtection="1">
      <alignment vertical="center"/>
    </xf>
    <xf numFmtId="0" fontId="9" fillId="0" borderId="39" xfId="0" applyFont="1" applyFill="1" applyBorder="1" applyAlignment="1" applyProtection="1">
      <alignment vertical="center"/>
    </xf>
    <xf numFmtId="181" fontId="20" fillId="2" borderId="77" xfId="0" applyNumberFormat="1" applyFont="1" applyFill="1" applyBorder="1" applyAlignment="1" applyProtection="1">
      <alignment vertical="center"/>
      <protection locked="0"/>
    </xf>
    <xf numFmtId="0" fontId="14" fillId="0" borderId="77" xfId="0" applyFont="1" applyBorder="1" applyAlignment="1" applyProtection="1">
      <alignment vertical="center"/>
      <protection locked="0"/>
    </xf>
    <xf numFmtId="0" fontId="80" fillId="2" borderId="16" xfId="14" applyFont="1" applyFill="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xf>
    <xf numFmtId="0" fontId="16" fillId="0" borderId="12" xfId="0" applyFont="1" applyBorder="1" applyAlignment="1" applyProtection="1">
      <alignment vertical="center"/>
    </xf>
    <xf numFmtId="49" fontId="34" fillId="0" borderId="12" xfId="0" applyNumberFormat="1" applyFont="1" applyBorder="1" applyAlignment="1" applyProtection="1">
      <alignment vertical="center"/>
    </xf>
    <xf numFmtId="0" fontId="17" fillId="0" borderId="2" xfId="0" applyFont="1" applyBorder="1" applyAlignment="1" applyProtection="1">
      <alignment horizontal="right" vertical="center"/>
    </xf>
    <xf numFmtId="0" fontId="14" fillId="0" borderId="43" xfId="0" applyFont="1" applyBorder="1" applyAlignment="1" applyProtection="1">
      <alignment horizontal="right" vertical="center"/>
    </xf>
    <xf numFmtId="0" fontId="14" fillId="0" borderId="0" xfId="0" applyFont="1" applyBorder="1" applyAlignment="1" applyProtection="1">
      <alignment horizontal="right" vertical="center"/>
    </xf>
    <xf numFmtId="49" fontId="34" fillId="0" borderId="78" xfId="0" applyNumberFormat="1" applyFont="1" applyBorder="1" applyAlignment="1" applyProtection="1">
      <alignment horizontal="left" vertical="center"/>
    </xf>
    <xf numFmtId="49" fontId="14" fillId="0" borderId="37" xfId="0" applyNumberFormat="1" applyFont="1" applyBorder="1" applyAlignment="1" applyProtection="1">
      <alignment horizontal="left" vertical="center"/>
    </xf>
    <xf numFmtId="49" fontId="14" fillId="0" borderId="38" xfId="0" applyNumberFormat="1" applyFont="1" applyBorder="1" applyAlignment="1" applyProtection="1">
      <alignment horizontal="left" vertical="center"/>
    </xf>
    <xf numFmtId="0" fontId="34" fillId="0" borderId="78" xfId="0" applyFont="1" applyBorder="1" applyAlignment="1" applyProtection="1">
      <alignment horizontal="left" vertical="center"/>
    </xf>
    <xf numFmtId="0" fontId="14" fillId="0" borderId="37" xfId="0" applyFont="1" applyBorder="1" applyAlignment="1" applyProtection="1">
      <alignment vertical="center"/>
    </xf>
    <xf numFmtId="178" fontId="34" fillId="0" borderId="17" xfId="0" applyNumberFormat="1" applyFont="1" applyBorder="1" applyAlignment="1" applyProtection="1">
      <alignment horizontal="left" vertical="center"/>
    </xf>
    <xf numFmtId="178" fontId="14" fillId="0" borderId="16" xfId="0" applyNumberFormat="1" applyFont="1" applyBorder="1" applyAlignment="1" applyProtection="1">
      <alignmen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0" fontId="71" fillId="0" borderId="12" xfId="0" applyFont="1" applyFill="1" applyBorder="1" applyAlignment="1" applyProtection="1">
      <alignment horizontal="center" vertical="center" wrapText="1"/>
    </xf>
    <xf numFmtId="166" fontId="5" fillId="0" borderId="12" xfId="0" applyNumberFormat="1" applyFont="1" applyFill="1" applyBorder="1" applyAlignment="1" applyProtection="1">
      <alignment horizontal="right" vertical="center"/>
    </xf>
    <xf numFmtId="166" fontId="4" fillId="0" borderId="12" xfId="0" applyNumberFormat="1" applyFont="1" applyBorder="1" applyAlignment="1" applyProtection="1">
      <alignment horizontal="right" vertical="center"/>
    </xf>
    <xf numFmtId="0" fontId="57" fillId="0" borderId="77" xfId="0" applyFont="1" applyBorder="1" applyAlignment="1" applyProtection="1">
      <alignment horizontal="left" vertical="center"/>
    </xf>
    <xf numFmtId="0" fontId="16" fillId="0" borderId="77" xfId="0" applyFont="1" applyBorder="1" applyAlignment="1" applyProtection="1">
      <alignment vertical="center"/>
    </xf>
    <xf numFmtId="0" fontId="16" fillId="0" borderId="116" xfId="0" applyFont="1" applyBorder="1" applyAlignment="1" applyProtection="1">
      <alignment vertical="center"/>
    </xf>
    <xf numFmtId="49" fontId="34" fillId="0" borderId="62" xfId="0" quotePrefix="1" applyNumberFormat="1" applyFont="1" applyFill="1" applyBorder="1" applyAlignment="1" applyProtection="1">
      <alignment horizontal="left" vertical="center" wrapText="1"/>
    </xf>
    <xf numFmtId="0" fontId="16" fillId="0" borderId="62" xfId="0" applyFont="1" applyBorder="1" applyAlignment="1" applyProtection="1">
      <alignment horizontal="left" vertical="center" wrapText="1"/>
    </xf>
    <xf numFmtId="0" fontId="16" fillId="0" borderId="169" xfId="0" applyFont="1" applyBorder="1" applyAlignment="1" applyProtection="1">
      <alignment horizontal="left" vertical="center" wrapText="1"/>
    </xf>
    <xf numFmtId="0" fontId="14" fillId="0" borderId="62" xfId="0" applyFont="1" applyBorder="1" applyAlignment="1" applyProtection="1">
      <alignment vertical="center"/>
    </xf>
    <xf numFmtId="0" fontId="14" fillId="0" borderId="169" xfId="0" applyFont="1" applyBorder="1" applyAlignment="1" applyProtection="1">
      <alignment vertical="center"/>
    </xf>
    <xf numFmtId="0" fontId="34" fillId="0" borderId="77" xfId="0" applyFont="1" applyBorder="1" applyAlignment="1" applyProtection="1">
      <alignment horizontal="left" vertical="center"/>
    </xf>
    <xf numFmtId="0" fontId="14" fillId="0" borderId="77" xfId="0" applyFont="1" applyBorder="1" applyAlignment="1" applyProtection="1">
      <alignment vertical="center"/>
    </xf>
    <xf numFmtId="0" fontId="17" fillId="0" borderId="0" xfId="0" applyFont="1" applyBorder="1" applyAlignment="1" applyProtection="1">
      <alignment horizontal="right" vertical="center"/>
    </xf>
    <xf numFmtId="0" fontId="62" fillId="0" borderId="6" xfId="0" applyFont="1" applyBorder="1" applyAlignment="1" applyProtection="1">
      <alignment horizontal="left" vertical="center"/>
    </xf>
    <xf numFmtId="0" fontId="62" fillId="0" borderId="6" xfId="0" applyFont="1" applyBorder="1" applyAlignment="1" applyProtection="1">
      <alignment vertical="center"/>
    </xf>
    <xf numFmtId="0" fontId="34" fillId="0" borderId="44" xfId="0" applyFont="1" applyBorder="1" applyAlignment="1" applyProtection="1">
      <alignment horizontal="left" vertical="center"/>
    </xf>
    <xf numFmtId="0" fontId="16" fillId="0" borderId="44" xfId="0" applyFont="1" applyBorder="1" applyAlignment="1" applyProtection="1">
      <alignment vertical="center"/>
    </xf>
    <xf numFmtId="49" fontId="34" fillId="0" borderId="12" xfId="0" applyNumberFormat="1" applyFont="1" applyBorder="1" applyAlignment="1" applyProtection="1">
      <alignment horizontal="left" vertical="center"/>
    </xf>
    <xf numFmtId="49" fontId="14" fillId="0" borderId="12" xfId="0" applyNumberFormat="1" applyFont="1" applyBorder="1" applyAlignment="1" applyProtection="1">
      <alignment vertical="center"/>
    </xf>
    <xf numFmtId="49" fontId="34" fillId="0" borderId="0" xfId="0" applyNumberFormat="1" applyFont="1" applyBorder="1" applyAlignment="1" applyProtection="1">
      <alignment horizontal="left" vertical="center"/>
    </xf>
    <xf numFmtId="0" fontId="14" fillId="0" borderId="0" xfId="0" applyFont="1" applyBorder="1" applyAlignment="1" applyProtection="1">
      <alignment vertical="center"/>
    </xf>
    <xf numFmtId="49" fontId="34" fillId="0" borderId="28" xfId="0" applyNumberFormat="1" applyFont="1" applyFill="1" applyBorder="1" applyAlignment="1" applyProtection="1">
      <alignment horizontal="left" vertical="center"/>
    </xf>
    <xf numFmtId="49" fontId="14" fillId="0" borderId="28" xfId="0" applyNumberFormat="1" applyFont="1" applyBorder="1" applyAlignment="1" applyProtection="1">
      <alignment vertical="center"/>
    </xf>
    <xf numFmtId="49" fontId="44" fillId="0" borderId="12" xfId="14" applyNumberFormat="1" applyFont="1" applyFill="1" applyBorder="1" applyAlignment="1" applyProtection="1">
      <alignment horizontal="left" vertical="center"/>
    </xf>
    <xf numFmtId="49" fontId="16" fillId="0" borderId="12" xfId="0" applyNumberFormat="1" applyFont="1" applyBorder="1" applyAlignment="1" applyProtection="1">
      <alignment horizontal="left" vertical="center"/>
    </xf>
    <xf numFmtId="49" fontId="16" fillId="0" borderId="12" xfId="0" applyNumberFormat="1" applyFont="1" applyBorder="1" applyAlignment="1" applyProtection="1">
      <alignment vertical="center"/>
    </xf>
    <xf numFmtId="49" fontId="34" fillId="0" borderId="78" xfId="0" applyNumberFormat="1" applyFont="1" applyBorder="1" applyAlignment="1" applyProtection="1">
      <alignment vertical="center"/>
    </xf>
    <xf numFmtId="49" fontId="14" fillId="0" borderId="37" xfId="0" applyNumberFormat="1" applyFont="1" applyBorder="1" applyAlignment="1" applyProtection="1">
      <alignment vertical="center"/>
    </xf>
    <xf numFmtId="49" fontId="14" fillId="0" borderId="38" xfId="0" applyNumberFormat="1" applyFont="1" applyBorder="1" applyAlignment="1" applyProtection="1">
      <alignmen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14" fillId="0" borderId="60" xfId="0" applyFont="1" applyBorder="1" applyAlignment="1" applyProtection="1">
      <alignment horizontal="right" vertical="center"/>
    </xf>
    <xf numFmtId="9" fontId="4" fillId="0" borderId="2"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166" fontId="4" fillId="0" borderId="38" xfId="0" applyNumberFormat="1" applyFont="1" applyBorder="1" applyAlignment="1" applyProtection="1">
      <alignment horizontal="right" vertical="center"/>
    </xf>
    <xf numFmtId="181" fontId="20" fillId="2" borderId="71" xfId="0" applyNumberFormat="1" applyFont="1" applyFill="1" applyBorder="1" applyAlignment="1" applyProtection="1">
      <alignment vertical="center"/>
      <protection locked="0"/>
    </xf>
    <xf numFmtId="0" fontId="14" fillId="0" borderId="57" xfId="0" applyFont="1" applyBorder="1" applyAlignment="1" applyProtection="1">
      <alignment vertical="center"/>
      <protection locked="0"/>
    </xf>
    <xf numFmtId="166" fontId="5" fillId="0" borderId="78" xfId="0" applyNumberFormat="1" applyFont="1" applyFill="1" applyBorder="1" applyAlignment="1" applyProtection="1">
      <alignment horizontal="left" vertical="center"/>
    </xf>
    <xf numFmtId="166" fontId="5" fillId="0" borderId="37" xfId="0" applyNumberFormat="1" applyFont="1" applyFill="1" applyBorder="1" applyAlignment="1" applyProtection="1">
      <alignment horizontal="left" vertical="center"/>
    </xf>
    <xf numFmtId="166" fontId="5" fillId="0" borderId="38" xfId="0" applyNumberFormat="1" applyFont="1" applyFill="1" applyBorder="1" applyAlignment="1" applyProtection="1">
      <alignment horizontal="left" vertical="center"/>
    </xf>
    <xf numFmtId="177" fontId="57" fillId="0" borderId="0" xfId="14" applyNumberFormat="1"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3" xfId="0" applyFont="1" applyBorder="1" applyAlignment="1" applyProtection="1">
      <alignment horizontal="center" vertical="center"/>
    </xf>
    <xf numFmtId="49" fontId="16" fillId="0" borderId="4" xfId="0" applyNumberFormat="1" applyFont="1" applyBorder="1" applyAlignment="1" applyProtection="1">
      <alignment vertical="center"/>
    </xf>
    <xf numFmtId="0" fontId="14" fillId="0" borderId="4" xfId="0" applyFont="1" applyBorder="1" applyAlignment="1" applyProtection="1">
      <alignment vertical="center"/>
    </xf>
    <xf numFmtId="175" fontId="34" fillId="0" borderId="99" xfId="0" applyNumberFormat="1" applyFont="1" applyBorder="1" applyAlignment="1" applyProtection="1">
      <alignment horizontal="left" vertical="center"/>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181" fontId="20" fillId="2" borderId="103" xfId="0" applyNumberFormat="1" applyFont="1" applyFill="1" applyBorder="1" applyAlignment="1" applyProtection="1">
      <alignment vertical="center"/>
      <protection locked="0"/>
    </xf>
    <xf numFmtId="0" fontId="4" fillId="0" borderId="170" xfId="0" applyFont="1" applyBorder="1" applyAlignment="1" applyProtection="1">
      <alignment vertical="center"/>
      <protection locked="0"/>
    </xf>
    <xf numFmtId="0" fontId="4" fillId="0" borderId="12" xfId="0" applyFont="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14" fillId="0" borderId="38" xfId="0" applyFont="1" applyBorder="1" applyAlignment="1" applyProtection="1">
      <alignment horizontal="center" vertical="center" wrapText="1"/>
    </xf>
    <xf numFmtId="166" fontId="5" fillId="0" borderId="12" xfId="0" applyNumberFormat="1" applyFont="1" applyFill="1" applyBorder="1" applyAlignment="1" applyProtection="1">
      <alignment horizontal="left" vertical="center"/>
    </xf>
    <xf numFmtId="166" fontId="4" fillId="0" borderId="12" xfId="0" applyNumberFormat="1" applyFont="1" applyBorder="1" applyAlignment="1" applyProtection="1">
      <alignment horizontal="left" vertical="center"/>
    </xf>
    <xf numFmtId="0" fontId="5" fillId="0" borderId="13" xfId="0" applyFont="1" applyFill="1" applyBorder="1" applyAlignment="1" applyProtection="1">
      <alignment horizontal="right" vertical="center"/>
    </xf>
    <xf numFmtId="0" fontId="14" fillId="0" borderId="13" xfId="0" applyFont="1" applyBorder="1" applyAlignment="1" applyProtection="1">
      <alignment horizontal="right" vertical="center"/>
    </xf>
    <xf numFmtId="0" fontId="17" fillId="0" borderId="8" xfId="0" applyFont="1" applyFill="1" applyBorder="1" applyAlignment="1" applyProtection="1">
      <alignment horizontal="left" vertical="center" wrapText="1"/>
    </xf>
    <xf numFmtId="0" fontId="16" fillId="0" borderId="4" xfId="0" applyFont="1" applyBorder="1" applyAlignment="1" applyProtection="1">
      <alignment horizontal="left" vertical="center" wrapText="1"/>
    </xf>
    <xf numFmtId="0" fontId="17" fillId="0" borderId="99" xfId="0" applyFont="1" applyFill="1" applyBorder="1" applyAlignment="1" applyProtection="1">
      <alignment horizontal="right"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Fill="1" applyBorder="1" applyAlignment="1" applyProtection="1">
      <alignment horizontal="right" vertical="center"/>
    </xf>
    <xf numFmtId="49" fontId="34" fillId="0" borderId="28" xfId="0" applyNumberFormat="1" applyFont="1" applyBorder="1" applyAlignment="1" applyProtection="1">
      <alignment vertical="center"/>
    </xf>
    <xf numFmtId="49" fontId="62" fillId="0" borderId="77" xfId="0" applyNumberFormat="1" applyFont="1" applyBorder="1" applyAlignment="1" applyProtection="1">
      <alignment horizontal="left" vertical="center"/>
    </xf>
    <xf numFmtId="0" fontId="14" fillId="0" borderId="116" xfId="0" applyFont="1" applyBorder="1" applyAlignment="1" applyProtection="1">
      <alignment vertical="center"/>
    </xf>
    <xf numFmtId="182" fontId="34" fillId="0" borderId="77" xfId="0" applyNumberFormat="1" applyFont="1" applyBorder="1" applyAlignment="1" applyProtection="1">
      <alignment vertical="center"/>
    </xf>
    <xf numFmtId="182" fontId="34" fillId="0" borderId="12" xfId="0" applyNumberFormat="1" applyFont="1" applyBorder="1" applyAlignment="1" applyProtection="1">
      <alignment horizontal="left" vertical="center"/>
    </xf>
    <xf numFmtId="179" fontId="34" fillId="0" borderId="28" xfId="0" applyNumberFormat="1" applyFont="1" applyFill="1" applyBorder="1" applyAlignment="1" applyProtection="1">
      <alignment horizontal="left" vertical="center" wrapText="1"/>
    </xf>
    <xf numFmtId="0" fontId="16" fillId="0" borderId="53" xfId="0" applyFont="1" applyBorder="1" applyAlignment="1" applyProtection="1">
      <alignment vertical="center"/>
    </xf>
    <xf numFmtId="0" fontId="66" fillId="0" borderId="0" xfId="0" applyFont="1" applyBorder="1" applyAlignment="1" applyProtection="1">
      <alignment horizontal="center" vertical="center"/>
    </xf>
    <xf numFmtId="0" fontId="128" fillId="0" borderId="0" xfId="0" applyFont="1" applyBorder="1" applyAlignment="1" applyProtection="1">
      <alignment horizontal="center" vertical="center"/>
    </xf>
    <xf numFmtId="0" fontId="129" fillId="0" borderId="0" xfId="0" applyFont="1" applyAlignment="1">
      <alignment horizontal="center"/>
    </xf>
    <xf numFmtId="0" fontId="1" fillId="0" borderId="26" xfId="0" applyFont="1" applyBorder="1" applyAlignment="1"/>
    <xf numFmtId="0" fontId="72" fillId="0" borderId="0" xfId="0" applyFont="1" applyBorder="1" applyAlignment="1" applyProtection="1">
      <alignment horizontal="lef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xf numFmtId="179" fontId="34" fillId="0" borderId="12" xfId="0" applyNumberFormat="1" applyFont="1" applyFill="1" applyBorder="1" applyAlignment="1" applyProtection="1">
      <alignment horizontal="left" vertical="center" wrapText="1"/>
    </xf>
    <xf numFmtId="0" fontId="16" fillId="0" borderId="26" xfId="0" applyFont="1" applyBorder="1" applyAlignment="1" applyProtection="1">
      <alignment vertical="center"/>
    </xf>
    <xf numFmtId="49" fontId="34" fillId="0" borderId="68" xfId="0" quotePrefix="1" applyNumberFormat="1" applyFont="1" applyFill="1" applyBorder="1" applyAlignment="1" applyProtection="1">
      <alignment horizontal="left" vertical="center" wrapText="1"/>
    </xf>
    <xf numFmtId="0" fontId="16" fillId="0" borderId="68" xfId="0" applyFont="1" applyBorder="1" applyAlignment="1" applyProtection="1">
      <alignment horizontal="left" vertical="center" wrapText="1"/>
    </xf>
    <xf numFmtId="0" fontId="14" fillId="0" borderId="68" xfId="0" applyFont="1" applyBorder="1" applyAlignment="1" applyProtection="1">
      <alignment vertical="center"/>
    </xf>
    <xf numFmtId="0" fontId="34" fillId="0" borderId="71" xfId="0" applyFont="1" applyBorder="1" applyAlignment="1" applyProtection="1">
      <alignment horizontal="left" vertical="center"/>
    </xf>
    <xf numFmtId="0" fontId="14" fillId="0" borderId="1" xfId="0" applyFont="1" applyBorder="1" applyAlignment="1" applyProtection="1">
      <alignment vertical="center"/>
    </xf>
    <xf numFmtId="182" fontId="34" fillId="0" borderId="71"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0" fontId="34" fillId="0" borderId="77" xfId="0" applyNumberFormat="1" applyFont="1" applyBorder="1" applyAlignment="1" applyProtection="1">
      <alignment horizontal="left" vertical="center"/>
    </xf>
    <xf numFmtId="0" fontId="14" fillId="0" borderId="28" xfId="0" applyFont="1" applyBorder="1" applyAlignment="1" applyProtection="1">
      <alignment vertical="center"/>
    </xf>
    <xf numFmtId="49" fontId="14" fillId="0" borderId="53" xfId="0" applyNumberFormat="1" applyFont="1" applyBorder="1" applyAlignment="1" applyProtection="1">
      <alignment vertical="center"/>
    </xf>
    <xf numFmtId="0" fontId="32" fillId="0" borderId="4" xfId="0" applyFont="1" applyFill="1" applyBorder="1" applyAlignment="1" applyProtection="1">
      <alignment horizontal="right" vertical="center"/>
    </xf>
    <xf numFmtId="0" fontId="14" fillId="0" borderId="4" xfId="0" applyFont="1" applyBorder="1" applyAlignment="1" applyProtection="1">
      <alignment horizontal="right" vertical="center"/>
    </xf>
    <xf numFmtId="170"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49" fontId="57" fillId="0" borderId="77" xfId="0" applyNumberFormat="1" applyFont="1" applyBorder="1" applyAlignment="1" applyProtection="1">
      <alignment horizontal="left" vertical="center"/>
    </xf>
    <xf numFmtId="176" fontId="7" fillId="0" borderId="13" xfId="0" applyNumberFormat="1" applyFont="1" applyBorder="1" applyAlignment="1" applyProtection="1">
      <alignment horizontal="right" vertical="center"/>
    </xf>
    <xf numFmtId="0" fontId="4" fillId="0" borderId="13" xfId="0" applyFont="1" applyBorder="1" applyAlignment="1" applyProtection="1">
      <alignment vertical="center"/>
    </xf>
    <xf numFmtId="0" fontId="4" fillId="0" borderId="0" xfId="0" applyFont="1" applyBorder="1" applyAlignment="1" applyProtection="1">
      <alignment vertical="center"/>
    </xf>
    <xf numFmtId="0" fontId="4" fillId="0" borderId="43" xfId="0" applyFont="1" applyBorder="1" applyAlignment="1" applyProtection="1">
      <alignment vertical="center"/>
    </xf>
    <xf numFmtId="177" fontId="50" fillId="0" borderId="13" xfId="14" applyNumberFormat="1" applyFont="1" applyFill="1" applyBorder="1" applyAlignment="1" applyProtection="1">
      <alignment horizontal="right" vertical="center"/>
    </xf>
    <xf numFmtId="175" fontId="34" fillId="0" borderId="71" xfId="0" applyNumberFormat="1" applyFont="1" applyBorder="1" applyAlignment="1" applyProtection="1">
      <alignment horizontal="left" vertical="center"/>
    </xf>
    <xf numFmtId="0" fontId="14" fillId="0" borderId="57" xfId="0" applyFont="1" applyBorder="1" applyAlignment="1" applyProtection="1">
      <alignment vertical="center"/>
    </xf>
    <xf numFmtId="0" fontId="7" fillId="0" borderId="8"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7" fillId="0" borderId="4" xfId="0" applyFont="1" applyFill="1" applyBorder="1" applyAlignment="1" applyProtection="1">
      <alignment horizontal="right" vertical="center"/>
    </xf>
    <xf numFmtId="0" fontId="4" fillId="0" borderId="4" xfId="0" applyFont="1" applyBorder="1" applyAlignment="1" applyProtection="1">
      <alignment vertical="center"/>
    </xf>
    <xf numFmtId="166" fontId="5" fillId="0" borderId="77" xfId="0" applyNumberFormat="1" applyFont="1" applyFill="1" applyBorder="1" applyAlignment="1" applyProtection="1">
      <alignment vertical="center"/>
    </xf>
    <xf numFmtId="166" fontId="1" fillId="0" borderId="116" xfId="0" applyNumberFormat="1" applyFont="1" applyFill="1" applyBorder="1" applyAlignment="1" applyProtection="1">
      <alignment vertical="center"/>
    </xf>
    <xf numFmtId="166" fontId="20" fillId="2" borderId="71" xfId="0" applyNumberFormat="1" applyFont="1" applyFill="1" applyBorder="1" applyAlignment="1" applyProtection="1">
      <alignment vertical="center"/>
      <protection locked="0"/>
    </xf>
    <xf numFmtId="166" fontId="1" fillId="0" borderId="57" xfId="0" applyNumberFormat="1" applyFont="1" applyBorder="1" applyAlignment="1" applyProtection="1">
      <alignment vertical="center"/>
      <protection locked="0"/>
    </xf>
    <xf numFmtId="166" fontId="20" fillId="2" borderId="77" xfId="0" applyNumberFormat="1" applyFont="1" applyFill="1" applyBorder="1" applyAlignment="1" applyProtection="1">
      <alignment vertical="center"/>
      <protection locked="0"/>
    </xf>
    <xf numFmtId="166" fontId="1" fillId="0" borderId="77" xfId="0" applyNumberFormat="1" applyFont="1" applyBorder="1" applyAlignment="1" applyProtection="1">
      <alignment vertical="center"/>
      <protection locked="0"/>
    </xf>
    <xf numFmtId="166" fontId="20" fillId="2" borderId="103" xfId="0" applyNumberFormat="1" applyFont="1" applyFill="1" applyBorder="1" applyAlignment="1" applyProtection="1">
      <alignment vertical="center"/>
      <protection locked="0"/>
    </xf>
    <xf numFmtId="166" fontId="1" fillId="0" borderId="170" xfId="0" applyNumberFormat="1" applyFont="1" applyBorder="1" applyAlignment="1" applyProtection="1">
      <alignment vertical="center"/>
      <protection locked="0"/>
    </xf>
    <xf numFmtId="0" fontId="1" fillId="0" borderId="12"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166" fontId="1" fillId="0" borderId="38" xfId="0" applyNumberFormat="1" applyFont="1" applyBorder="1" applyAlignment="1" applyProtection="1">
      <alignment horizontal="right" vertical="center"/>
    </xf>
    <xf numFmtId="166" fontId="1" fillId="0" borderId="12" xfId="0" applyNumberFormat="1" applyFont="1" applyBorder="1" applyAlignment="1" applyProtection="1">
      <alignment horizontal="left" vertical="center"/>
    </xf>
    <xf numFmtId="166" fontId="1" fillId="0" borderId="12" xfId="0" applyNumberFormat="1" applyFont="1" applyBorder="1" applyAlignment="1" applyProtection="1">
      <alignment horizontal="right" vertical="center"/>
    </xf>
    <xf numFmtId="0" fontId="1" fillId="0" borderId="38" xfId="0" applyFont="1" applyBorder="1" applyAlignment="1" applyProtection="1">
      <alignment horizontal="center" vertical="center" wrapText="1"/>
    </xf>
    <xf numFmtId="0" fontId="1" fillId="0" borderId="12" xfId="0" applyFont="1" applyBorder="1" applyAlignment="1" applyProtection="1">
      <alignment vertical="center"/>
    </xf>
    <xf numFmtId="0" fontId="4" fillId="0" borderId="2" xfId="0" applyFont="1" applyBorder="1" applyAlignment="1" applyProtection="1">
      <alignment horizontal="left" vertical="center"/>
    </xf>
    <xf numFmtId="0" fontId="4" fillId="0" borderId="2" xfId="0" applyFont="1" applyBorder="1" applyAlignment="1" applyProtection="1">
      <alignment vertical="center"/>
    </xf>
    <xf numFmtId="0" fontId="72" fillId="0" borderId="0" xfId="0" applyFont="1" applyBorder="1" applyAlignment="1" applyProtection="1">
      <alignment horizontal="right" vertical="center"/>
    </xf>
    <xf numFmtId="0" fontId="14" fillId="0" borderId="0" xfId="0" applyFont="1" applyBorder="1" applyAlignment="1">
      <alignment horizontal="right" vertical="center"/>
    </xf>
    <xf numFmtId="183" fontId="34" fillId="0" borderId="78" xfId="0" applyNumberFormat="1" applyFont="1" applyBorder="1" applyAlignment="1" applyProtection="1">
      <alignment horizontal="left" vertical="center"/>
    </xf>
    <xf numFmtId="0" fontId="34" fillId="0" borderId="6" xfId="0" applyFont="1" applyBorder="1" applyAlignment="1" applyProtection="1">
      <alignment horizontal="left" vertical="center"/>
    </xf>
    <xf numFmtId="0" fontId="16" fillId="0" borderId="6" xfId="0" applyFont="1" applyBorder="1" applyAlignment="1" applyProtection="1">
      <alignment vertical="center"/>
    </xf>
    <xf numFmtId="0" fontId="34" fillId="0" borderId="28" xfId="0" applyFont="1" applyBorder="1" applyAlignment="1" applyProtection="1">
      <alignment horizontal="left" vertical="center"/>
    </xf>
    <xf numFmtId="0" fontId="16" fillId="0" borderId="28" xfId="0" applyFont="1" applyBorder="1" applyAlignment="1" applyProtection="1">
      <alignment vertical="center"/>
    </xf>
    <xf numFmtId="49" fontId="14" fillId="0" borderId="26" xfId="0" applyNumberFormat="1" applyFont="1" applyBorder="1" applyAlignment="1" applyProtection="1">
      <alignment vertical="center"/>
    </xf>
    <xf numFmtId="49" fontId="34" fillId="0" borderId="6" xfId="0" applyNumberFormat="1" applyFont="1" applyBorder="1" applyAlignment="1" applyProtection="1">
      <alignment vertical="center"/>
    </xf>
    <xf numFmtId="0" fontId="16" fillId="0" borderId="12" xfId="0" applyFont="1" applyBorder="1" applyAlignment="1" applyProtection="1">
      <alignment horizontal="left" vertical="center"/>
    </xf>
    <xf numFmtId="0" fontId="41" fillId="0" borderId="2" xfId="0" applyFont="1" applyBorder="1" applyAlignment="1">
      <alignment horizontal="right" vertical="center"/>
    </xf>
    <xf numFmtId="0" fontId="41" fillId="0" borderId="0" xfId="0" applyFont="1" applyBorder="1" applyAlignment="1">
      <alignment horizontal="right" vertical="center"/>
    </xf>
    <xf numFmtId="0" fontId="16" fillId="0" borderId="43" xfId="0" applyFont="1" applyBorder="1" applyAlignment="1">
      <alignment horizontal="right" vertical="center"/>
    </xf>
    <xf numFmtId="0" fontId="7" fillId="0" borderId="2" xfId="0" applyFont="1" applyBorder="1" applyAlignment="1">
      <alignment horizontal="center" textRotation="180"/>
    </xf>
    <xf numFmtId="0" fontId="99" fillId="0" borderId="2" xfId="0" applyFont="1" applyBorder="1" applyAlignment="1">
      <alignment horizontal="center" textRotation="180"/>
    </xf>
    <xf numFmtId="0" fontId="99" fillId="0" borderId="9" xfId="0" applyFont="1" applyBorder="1" applyAlignment="1">
      <alignment horizontal="center" textRotation="180"/>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xf numFmtId="0" fontId="14" fillId="0" borderId="10" xfId="0" applyFont="1" applyBorder="1" applyAlignment="1"/>
    <xf numFmtId="165" fontId="7" fillId="0" borderId="78" xfId="0" applyNumberFormat="1" applyFont="1" applyBorder="1" applyAlignment="1">
      <alignment horizontal="center" vertical="center"/>
    </xf>
    <xf numFmtId="165" fontId="7" fillId="0" borderId="37" xfId="0" applyNumberFormat="1" applyFont="1" applyBorder="1" applyAlignment="1">
      <alignment horizontal="center" vertical="center"/>
    </xf>
    <xf numFmtId="165" fontId="7" fillId="0" borderId="38" xfId="0" applyNumberFormat="1" applyFont="1" applyBorder="1" applyAlignment="1">
      <alignment horizontal="center" vertical="center"/>
    </xf>
    <xf numFmtId="165" fontId="7" fillId="0" borderId="28" xfId="0" applyNumberFormat="1" applyFont="1" applyBorder="1" applyAlignment="1">
      <alignment horizontal="center" vertical="center" wrapText="1"/>
    </xf>
    <xf numFmtId="165" fontId="7" fillId="0" borderId="6" xfId="0" applyNumberFormat="1" applyFont="1" applyBorder="1" applyAlignment="1">
      <alignment horizontal="center" vertical="center" wrapText="1"/>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14" fontId="16" fillId="2" borderId="78" xfId="0" applyNumberFormat="1" applyFont="1" applyFill="1" applyBorder="1" applyAlignment="1" applyProtection="1">
      <alignment vertical="center"/>
      <protection locked="0"/>
    </xf>
    <xf numFmtId="14" fontId="16" fillId="2" borderId="37" xfId="0" applyNumberFormat="1" applyFont="1" applyFill="1" applyBorder="1" applyAlignment="1" applyProtection="1">
      <alignment vertical="center"/>
      <protection locked="0"/>
    </xf>
    <xf numFmtId="14" fontId="16" fillId="2" borderId="39" xfId="0" applyNumberFormat="1" applyFont="1" applyFill="1" applyBorder="1" applyAlignment="1" applyProtection="1">
      <alignment vertical="center"/>
      <protection locked="0"/>
    </xf>
    <xf numFmtId="0" fontId="1" fillId="0" borderId="0" xfId="0" applyFont="1" applyAlignment="1" applyProtection="1">
      <alignment horizontal="justify" vertical="center" wrapText="1"/>
      <protection locked="0"/>
    </xf>
    <xf numFmtId="0" fontId="97" fillId="0" borderId="0" xfId="0" applyFont="1" applyAlignment="1" applyProtection="1">
      <alignment wrapText="1"/>
      <protection locked="0"/>
    </xf>
    <xf numFmtId="0" fontId="7" fillId="0" borderId="0" xfId="0" applyFont="1" applyAlignment="1" applyProtection="1">
      <alignment horizontal="right"/>
      <protection locked="0"/>
    </xf>
    <xf numFmtId="0" fontId="91" fillId="0" borderId="0" xfId="0" applyFont="1" applyAlignment="1" applyProtection="1">
      <alignment horizontal="right"/>
      <protection locked="0"/>
    </xf>
    <xf numFmtId="0" fontId="1" fillId="0" borderId="124" xfId="0" applyFont="1" applyBorder="1" applyAlignment="1" applyProtection="1">
      <alignment horizontal="center"/>
      <protection locked="0"/>
    </xf>
    <xf numFmtId="0" fontId="1" fillId="0" borderId="176"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0" fillId="0" borderId="36" xfId="0" applyBorder="1" applyAlignment="1" applyProtection="1">
      <protection locked="0"/>
    </xf>
    <xf numFmtId="0" fontId="1" fillId="0" borderId="36" xfId="0" applyFont="1" applyBorder="1" applyAlignment="1" applyProtection="1">
      <alignment horizontal="center"/>
      <protection locked="0"/>
    </xf>
    <xf numFmtId="0" fontId="1" fillId="0" borderId="188" xfId="0" applyFont="1" applyBorder="1" applyAlignment="1" applyProtection="1">
      <alignment horizontal="center"/>
      <protection locked="0"/>
    </xf>
    <xf numFmtId="0" fontId="1" fillId="0" borderId="90" xfId="0" quotePrefix="1" applyFont="1" applyBorder="1" applyAlignment="1" applyProtection="1">
      <alignment horizontal="center"/>
      <protection locked="0"/>
    </xf>
    <xf numFmtId="0" fontId="7" fillId="0" borderId="195"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78" xfId="0" applyFont="1" applyBorder="1" applyAlignment="1" applyProtection="1">
      <alignment horizontal="center"/>
      <protection locked="0"/>
    </xf>
    <xf numFmtId="0" fontId="0" fillId="0" borderId="38" xfId="0" applyBorder="1" applyAlignment="1" applyProtection="1">
      <protection locked="0"/>
    </xf>
    <xf numFmtId="174" fontId="7" fillId="0" borderId="207" xfId="0" applyNumberFormat="1" applyFont="1" applyBorder="1" applyAlignment="1" applyProtection="1">
      <alignment horizontal="center"/>
      <protection locked="0"/>
    </xf>
    <xf numFmtId="0" fontId="7" fillId="0" borderId="59" xfId="0" applyFont="1" applyBorder="1" applyAlignment="1" applyProtection="1">
      <alignment horizontal="center"/>
      <protection locked="0"/>
    </xf>
    <xf numFmtId="0" fontId="7" fillId="0" borderId="67"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7" xfId="0" applyFont="1" applyBorder="1" applyAlignment="1" applyProtection="1">
      <alignment horizontal="center"/>
      <protection locked="0"/>
    </xf>
    <xf numFmtId="0" fontId="15" fillId="0" borderId="8" xfId="0" applyFont="1" applyBorder="1" applyAlignment="1">
      <alignment horizontal="right" vertical="center"/>
    </xf>
    <xf numFmtId="0" fontId="15" fillId="0" borderId="4" xfId="0" applyFont="1" applyBorder="1" applyAlignment="1">
      <alignment horizontal="right" vertical="center"/>
    </xf>
    <xf numFmtId="1" fontId="15" fillId="0" borderId="4" xfId="0" applyNumberFormat="1" applyFont="1" applyBorder="1" applyAlignment="1" applyProtection="1">
      <alignment horizontal="right" vertical="center"/>
    </xf>
    <xf numFmtId="0" fontId="0" fillId="0" borderId="4" xfId="0" applyBorder="1" applyAlignment="1">
      <alignment horizontal="right" vertical="center"/>
    </xf>
    <xf numFmtId="0" fontId="17" fillId="0" borderId="78" xfId="0" applyFont="1" applyBorder="1" applyAlignment="1">
      <alignment horizontal="center" vertical="center" wrapText="1"/>
    </xf>
    <xf numFmtId="0" fontId="0" fillId="0" borderId="38" xfId="0" applyBorder="1" applyAlignment="1">
      <alignment horizontal="center" vertical="center" wrapText="1"/>
    </xf>
    <xf numFmtId="0" fontId="17" fillId="0" borderId="12" xfId="0" applyFont="1" applyBorder="1" applyAlignment="1">
      <alignment horizontal="center" vertical="center"/>
    </xf>
    <xf numFmtId="0" fontId="0" fillId="0" borderId="12" xfId="0" applyBorder="1" applyAlignment="1"/>
    <xf numFmtId="0" fontId="7" fillId="0" borderId="111" xfId="0" applyFont="1" applyBorder="1" applyAlignment="1">
      <alignment horizontal="center"/>
    </xf>
    <xf numFmtId="0" fontId="91" fillId="0" borderId="111" xfId="0" applyFont="1" applyBorder="1" applyAlignment="1">
      <alignment horizontal="center"/>
    </xf>
    <xf numFmtId="0" fontId="7" fillId="0" borderId="27" xfId="0" applyFont="1" applyBorder="1" applyAlignment="1">
      <alignment horizontal="center" vertical="center" wrapText="1"/>
    </xf>
    <xf numFmtId="0" fontId="0" fillId="0" borderId="34" xfId="0" applyBorder="1" applyAlignment="1">
      <alignment horizontal="center" vertical="center" wrapText="1"/>
    </xf>
    <xf numFmtId="0" fontId="91" fillId="0" borderId="6" xfId="0" applyFont="1" applyBorder="1" applyAlignment="1">
      <alignment horizontal="center" vertical="center" wrapText="1"/>
    </xf>
    <xf numFmtId="0" fontId="0" fillId="0" borderId="6" xfId="0" applyBorder="1" applyAlignment="1">
      <alignment horizontal="center" vertical="center"/>
    </xf>
    <xf numFmtId="0" fontId="17" fillId="0" borderId="113" xfId="0" applyFont="1" applyBorder="1" applyAlignment="1">
      <alignment horizontal="center" vertical="center" wrapText="1"/>
    </xf>
    <xf numFmtId="0" fontId="0" fillId="0" borderId="79" xfId="0" applyBorder="1" applyAlignment="1"/>
    <xf numFmtId="0" fontId="17" fillId="0" borderId="12" xfId="0" applyFont="1" applyBorder="1" applyAlignment="1">
      <alignment horizontal="center" vertical="center" wrapText="1"/>
    </xf>
    <xf numFmtId="0" fontId="16" fillId="0" borderId="78"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0" borderId="12" xfId="0" applyBorder="1" applyAlignment="1">
      <alignment wrapText="1"/>
    </xf>
    <xf numFmtId="0" fontId="7" fillId="0" borderId="121" xfId="0" applyFont="1" applyFill="1" applyBorder="1" applyAlignment="1">
      <alignment horizontal="center" wrapText="1"/>
    </xf>
    <xf numFmtId="0" fontId="91" fillId="0" borderId="44" xfId="0" applyFont="1" applyBorder="1" applyAlignment="1">
      <alignment wrapText="1"/>
    </xf>
    <xf numFmtId="0" fontId="0" fillId="0" borderId="6" xfId="0" applyBorder="1" applyAlignment="1">
      <alignment wrapText="1"/>
    </xf>
    <xf numFmtId="0" fontId="0" fillId="0" borderId="38" xfId="0" applyBorder="1" applyAlignment="1">
      <alignment wrapText="1"/>
    </xf>
    <xf numFmtId="0" fontId="7" fillId="0" borderId="7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wrapText="1"/>
    </xf>
    <xf numFmtId="0" fontId="17" fillId="0" borderId="44" xfId="0" applyFont="1" applyBorder="1" applyAlignment="1">
      <alignment horizontal="center" vertical="center" wrapText="1"/>
    </xf>
    <xf numFmtId="0" fontId="14" fillId="0" borderId="78" xfId="0" applyFont="1" applyBorder="1" applyAlignment="1">
      <alignment vertical="center"/>
    </xf>
    <xf numFmtId="0" fontId="14" fillId="0" borderId="38" xfId="0" applyFont="1" applyBorder="1" applyAlignment="1">
      <alignment vertical="center"/>
    </xf>
    <xf numFmtId="0" fontId="17" fillId="0" borderId="18" xfId="0" applyFont="1" applyBorder="1" applyAlignment="1">
      <alignment horizontal="right" vertical="center"/>
    </xf>
    <xf numFmtId="0" fontId="17" fillId="0" borderId="13" xfId="0" applyFont="1" applyBorder="1" applyAlignment="1">
      <alignment horizontal="right" vertical="center"/>
    </xf>
    <xf numFmtId="0" fontId="17" fillId="0" borderId="109" xfId="0" applyFont="1" applyBorder="1" applyAlignment="1">
      <alignment horizontal="right" vertical="center"/>
    </xf>
    <xf numFmtId="0" fontId="20" fillId="2" borderId="5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171" xfId="0" applyFont="1" applyFill="1" applyBorder="1" applyAlignment="1" applyProtection="1">
      <alignment vertical="center"/>
      <protection locked="0"/>
    </xf>
    <xf numFmtId="0" fontId="20" fillId="2" borderId="172" xfId="0" applyFont="1" applyFill="1" applyBorder="1" applyAlignment="1" applyProtection="1">
      <alignment vertical="center"/>
      <protection locked="0"/>
    </xf>
    <xf numFmtId="0" fontId="7" fillId="0" borderId="8" xfId="0" applyFont="1" applyBorder="1" applyAlignment="1">
      <alignment horizontal="right" vertical="center"/>
    </xf>
    <xf numFmtId="0" fontId="7" fillId="0" borderId="4" xfId="0" applyFont="1" applyBorder="1" applyAlignment="1">
      <alignment horizontal="right" vertical="center"/>
    </xf>
    <xf numFmtId="0" fontId="20" fillId="2" borderId="40" xfId="0" applyFont="1" applyFill="1" applyBorder="1" applyAlignment="1" applyProtection="1">
      <alignment vertical="center"/>
      <protection locked="0"/>
    </xf>
    <xf numFmtId="0" fontId="14" fillId="0" borderId="7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20" fillId="2" borderId="175"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3" builtinId="8"/>
    <cellStyle name="Normal" xfId="0" builtinId="0"/>
    <cellStyle name="Normal_Book2" xfId="14"/>
    <cellStyle name="Normal_EstEng0408" xfId="15"/>
    <cellStyle name="Normal_Typing, Duplicating, &amp; Printing" xfId="18"/>
    <cellStyle name="Percent" xfId="16" builtinId="5"/>
    <cellStyle name="Total" xfId="17" builtinId="25" customBuiltin="1"/>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99"/>
      <color rgb="FFFFFFCC"/>
      <color rgb="FFCCFFCC"/>
      <color rgb="FF99FF99"/>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46</xdr:row>
      <xdr:rowOff>257175</xdr:rowOff>
    </xdr:from>
    <xdr:to>
      <xdr:col>6</xdr:col>
      <xdr:colOff>0</xdr:colOff>
      <xdr:row>52</xdr:row>
      <xdr:rowOff>161925</xdr:rowOff>
    </xdr:to>
    <xdr:sp macro="" textlink="">
      <xdr:nvSpPr>
        <xdr:cNvPr id="3296" name="AutoShape 17"/>
        <xdr:cNvSpPr>
          <a:spLocks noChangeArrowheads="1"/>
        </xdr:cNvSpPr>
      </xdr:nvSpPr>
      <xdr:spPr bwMode="auto">
        <a:xfrm>
          <a:off x="7810500" y="1163002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48</xdr:row>
      <xdr:rowOff>304800</xdr:rowOff>
    </xdr:from>
    <xdr:to>
      <xdr:col>7</xdr:col>
      <xdr:colOff>0</xdr:colOff>
      <xdr:row>53</xdr:row>
      <xdr:rowOff>323850</xdr:rowOff>
    </xdr:to>
    <xdr:sp macro="" textlink="">
      <xdr:nvSpPr>
        <xdr:cNvPr id="3297" name="AutoShape 18"/>
        <xdr:cNvSpPr>
          <a:spLocks noChangeArrowheads="1"/>
        </xdr:cNvSpPr>
      </xdr:nvSpPr>
      <xdr:spPr bwMode="auto">
        <a:xfrm>
          <a:off x="9286875" y="1244917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180975</xdr:colOff>
      <xdr:row>1</xdr:row>
      <xdr:rowOff>123825</xdr:rowOff>
    </xdr:from>
    <xdr:to>
      <xdr:col>3</xdr:col>
      <xdr:colOff>1704975</xdr:colOff>
      <xdr:row>3</xdr:row>
      <xdr:rowOff>247650</xdr:rowOff>
    </xdr:to>
    <xdr:pic>
      <xdr:nvPicPr>
        <xdr:cNvPr id="3298" name="Picture 1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 y="7842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17438" name="AutoShape 2"/>
        <xdr:cNvSpPr>
          <a:spLocks noChangeArrowheads="1"/>
        </xdr:cNvSpPr>
      </xdr:nvSpPr>
      <xdr:spPr bwMode="auto">
        <a:xfrm>
          <a:off x="7810500" y="11601450"/>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17439" name="AutoShape 3"/>
        <xdr:cNvSpPr>
          <a:spLocks noChangeArrowheads="1"/>
        </xdr:cNvSpPr>
      </xdr:nvSpPr>
      <xdr:spPr bwMode="auto">
        <a:xfrm>
          <a:off x="9286875" y="12420600"/>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1171575</xdr:colOff>
      <xdr:row>1</xdr:row>
      <xdr:rowOff>200025</xdr:rowOff>
    </xdr:from>
    <xdr:to>
      <xdr:col>3</xdr:col>
      <xdr:colOff>1298575</xdr:colOff>
      <xdr:row>3</xdr:row>
      <xdr:rowOff>323850</xdr:rowOff>
    </xdr:to>
    <xdr:pic>
      <xdr:nvPicPr>
        <xdr:cNvPr id="1744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8985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781050</xdr:colOff>
      <xdr:row>0</xdr:row>
      <xdr:rowOff>66675</xdr:rowOff>
    </xdr:from>
    <xdr:to>
      <xdr:col>3</xdr:col>
      <xdr:colOff>28575</xdr:colOff>
      <xdr:row>1</xdr:row>
      <xdr:rowOff>304800</xdr:rowOff>
    </xdr:to>
    <xdr:pic>
      <xdr:nvPicPr>
        <xdr:cNvPr id="14696" name="Picture 1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66675"/>
          <a:ext cx="25812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866775</xdr:colOff>
      <xdr:row>0</xdr:row>
      <xdr:rowOff>104775</xdr:rowOff>
    </xdr:from>
    <xdr:to>
      <xdr:col>2</xdr:col>
      <xdr:colOff>742950</xdr:colOff>
      <xdr:row>2</xdr:row>
      <xdr:rowOff>47625</xdr:rowOff>
    </xdr:to>
    <xdr:pic>
      <xdr:nvPicPr>
        <xdr:cNvPr id="1547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104775"/>
          <a:ext cx="24860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9</xdr:col>
      <xdr:colOff>9524</xdr:colOff>
      <xdr:row>4</xdr:row>
      <xdr:rowOff>38100</xdr:rowOff>
    </xdr:from>
    <xdr:to>
      <xdr:col>10</xdr:col>
      <xdr:colOff>520700</xdr:colOff>
      <xdr:row>4</xdr:row>
      <xdr:rowOff>314324</xdr:rowOff>
    </xdr:to>
    <xdr:sp macro="" textlink="">
      <xdr:nvSpPr>
        <xdr:cNvPr id="5129" name="Line 3"/>
        <xdr:cNvSpPr>
          <a:spLocks noChangeShapeType="1"/>
        </xdr:cNvSpPr>
      </xdr:nvSpPr>
      <xdr:spPr bwMode="auto">
        <a:xfrm flipH="1">
          <a:off x="7324724" y="1524000"/>
          <a:ext cx="1412876" cy="276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xdr:row>
      <xdr:rowOff>28575</xdr:rowOff>
    </xdr:from>
    <xdr:to>
      <xdr:col>11</xdr:col>
      <xdr:colOff>47625</xdr:colOff>
      <xdr:row>5</xdr:row>
      <xdr:rowOff>0</xdr:rowOff>
    </xdr:to>
    <xdr:sp macro="" textlink="">
      <xdr:nvSpPr>
        <xdr:cNvPr id="5130" name="Line 4"/>
        <xdr:cNvSpPr>
          <a:spLocks noChangeShapeType="1"/>
        </xdr:cNvSpPr>
      </xdr:nvSpPr>
      <xdr:spPr bwMode="auto">
        <a:xfrm>
          <a:off x="6629400" y="1457325"/>
          <a:ext cx="942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116"/>
  <sheetViews>
    <sheetView topLeftCell="A39" workbookViewId="0">
      <selection activeCell="B84" sqref="B84"/>
    </sheetView>
  </sheetViews>
  <sheetFormatPr defaultRowHeight="15" x14ac:dyDescent="0.25"/>
  <cols>
    <col min="1" max="1" width="5" customWidth="1"/>
    <col min="2" max="2" width="71.25" customWidth="1"/>
  </cols>
  <sheetData>
    <row r="1" spans="1:2" ht="46.8" x14ac:dyDescent="0.25">
      <c r="A1" s="18"/>
      <c r="B1" s="21" t="s">
        <v>207</v>
      </c>
    </row>
    <row r="2" spans="1:2" x14ac:dyDescent="0.25">
      <c r="A2" s="18"/>
      <c r="B2" s="18"/>
    </row>
    <row r="3" spans="1:2" x14ac:dyDescent="0.25">
      <c r="A3" s="18"/>
      <c r="B3" s="22" t="s">
        <v>127</v>
      </c>
    </row>
    <row r="4" spans="1:2" x14ac:dyDescent="0.25">
      <c r="A4" s="18"/>
      <c r="B4" s="18"/>
    </row>
    <row r="5" spans="1:2" x14ac:dyDescent="0.25">
      <c r="A5" s="18"/>
      <c r="B5" s="22" t="s">
        <v>125</v>
      </c>
    </row>
    <row r="6" spans="1:2" x14ac:dyDescent="0.25">
      <c r="A6" s="18"/>
      <c r="B6" s="22"/>
    </row>
    <row r="7" spans="1:2" ht="39.6" x14ac:dyDescent="0.25">
      <c r="A7" s="19">
        <v>1</v>
      </c>
      <c r="B7" s="16" t="s">
        <v>166</v>
      </c>
    </row>
    <row r="8" spans="1:2" x14ac:dyDescent="0.25">
      <c r="A8" s="19"/>
    </row>
    <row r="9" spans="1:2" ht="52.8" x14ac:dyDescent="0.25">
      <c r="A9" s="19">
        <v>2</v>
      </c>
      <c r="B9" s="20" t="s">
        <v>142</v>
      </c>
    </row>
    <row r="10" spans="1:2" x14ac:dyDescent="0.25">
      <c r="A10" s="19"/>
      <c r="B10" s="20"/>
    </row>
    <row r="11" spans="1:2" ht="26.4" x14ac:dyDescent="0.25">
      <c r="A11" s="19">
        <f>A9+1</f>
        <v>3</v>
      </c>
      <c r="B11" s="16" t="s">
        <v>117</v>
      </c>
    </row>
    <row r="12" spans="1:2" x14ac:dyDescent="0.25">
      <c r="A12" s="19"/>
      <c r="B12" s="16"/>
    </row>
    <row r="13" spans="1:2" ht="26.4" x14ac:dyDescent="0.25">
      <c r="A13" s="19">
        <f>A11+1</f>
        <v>4</v>
      </c>
      <c r="B13" s="16" t="s">
        <v>118</v>
      </c>
    </row>
    <row r="14" spans="1:2" x14ac:dyDescent="0.25">
      <c r="A14" s="19"/>
      <c r="B14" s="16"/>
    </row>
    <row r="15" spans="1:2" ht="26.4" x14ac:dyDescent="0.25">
      <c r="A15" s="19">
        <f>A13+1</f>
        <v>5</v>
      </c>
      <c r="B15" s="20" t="s">
        <v>119</v>
      </c>
    </row>
    <row r="16" spans="1:2" x14ac:dyDescent="0.25">
      <c r="A16" s="19"/>
      <c r="B16" s="20"/>
    </row>
    <row r="17" spans="1:2" ht="26.4" x14ac:dyDescent="0.25">
      <c r="A17" s="19">
        <f>A15+1</f>
        <v>6</v>
      </c>
      <c r="B17" s="16" t="s">
        <v>120</v>
      </c>
    </row>
    <row r="18" spans="1:2" x14ac:dyDescent="0.25">
      <c r="A18" s="19"/>
      <c r="B18" s="18"/>
    </row>
    <row r="19" spans="1:2" ht="52.8" x14ac:dyDescent="0.25">
      <c r="A19" s="19">
        <f>A17+1</f>
        <v>7</v>
      </c>
      <c r="B19" s="16" t="s">
        <v>121</v>
      </c>
    </row>
    <row r="20" spans="1:2" x14ac:dyDescent="0.25">
      <c r="A20" s="19"/>
      <c r="B20" s="16"/>
    </row>
    <row r="21" spans="1:2" ht="26.4" x14ac:dyDescent="0.25">
      <c r="A21" s="19">
        <f>A19+1</f>
        <v>8</v>
      </c>
      <c r="B21" s="16" t="s">
        <v>122</v>
      </c>
    </row>
    <row r="22" spans="1:2" ht="27" customHeight="1" x14ac:dyDescent="0.25">
      <c r="A22" s="19"/>
      <c r="B22" s="16"/>
    </row>
    <row r="23" spans="1:2" ht="39.6" x14ac:dyDescent="0.25">
      <c r="A23" s="19">
        <f>A21+1</f>
        <v>9</v>
      </c>
      <c r="B23" s="15" t="s">
        <v>169</v>
      </c>
    </row>
    <row r="24" spans="1:2" x14ac:dyDescent="0.25">
      <c r="A24" s="19"/>
      <c r="B24" s="15"/>
    </row>
    <row r="25" spans="1:2" ht="39.6" x14ac:dyDescent="0.25">
      <c r="A25" s="19">
        <f>A23+1</f>
        <v>10</v>
      </c>
      <c r="B25" s="1283" t="s">
        <v>624</v>
      </c>
    </row>
    <row r="26" spans="1:2" x14ac:dyDescent="0.25">
      <c r="A26" s="19"/>
      <c r="B26" s="17"/>
    </row>
    <row r="27" spans="1:2" ht="26.4" x14ac:dyDescent="0.25">
      <c r="A27" s="19">
        <f>A25+1</f>
        <v>11</v>
      </c>
      <c r="B27" s="1283" t="s">
        <v>623</v>
      </c>
    </row>
    <row r="28" spans="1:2" x14ac:dyDescent="0.25">
      <c r="A28" s="19"/>
      <c r="B28" s="16"/>
    </row>
    <row r="29" spans="1:2" x14ac:dyDescent="0.25">
      <c r="A29" s="19">
        <f>A27+1</f>
        <v>12</v>
      </c>
      <c r="B29" s="15" t="s">
        <v>123</v>
      </c>
    </row>
    <row r="30" spans="1:2" x14ac:dyDescent="0.25">
      <c r="A30" s="19"/>
      <c r="B30" s="15"/>
    </row>
    <row r="31" spans="1:2" x14ac:dyDescent="0.25">
      <c r="A31" s="19">
        <f>A29+1</f>
        <v>13</v>
      </c>
      <c r="B31" s="16" t="s">
        <v>143</v>
      </c>
    </row>
    <row r="32" spans="1:2" x14ac:dyDescent="0.25">
      <c r="A32" s="19"/>
    </row>
    <row r="33" spans="1:2" x14ac:dyDescent="0.25">
      <c r="A33" s="19">
        <f>A31+1</f>
        <v>14</v>
      </c>
      <c r="B33" s="32" t="s">
        <v>132</v>
      </c>
    </row>
    <row r="34" spans="1:2" x14ac:dyDescent="0.25">
      <c r="A34" s="19"/>
      <c r="B34" s="18"/>
    </row>
    <row r="35" spans="1:2" x14ac:dyDescent="0.25">
      <c r="A35" s="19"/>
      <c r="B35" s="18"/>
    </row>
    <row r="36" spans="1:2" x14ac:dyDescent="0.25">
      <c r="A36" s="19"/>
      <c r="B36" s="23" t="s">
        <v>112</v>
      </c>
    </row>
    <row r="37" spans="1:2" x14ac:dyDescent="0.25">
      <c r="A37" s="19"/>
      <c r="B37" s="18"/>
    </row>
    <row r="38" spans="1:2" x14ac:dyDescent="0.25">
      <c r="A38" s="19">
        <v>1</v>
      </c>
      <c r="B38" s="18" t="s">
        <v>113</v>
      </c>
    </row>
    <row r="39" spans="1:2" x14ac:dyDescent="0.25">
      <c r="A39" s="19"/>
      <c r="B39" s="18"/>
    </row>
    <row r="40" spans="1:2" ht="26.4" x14ac:dyDescent="0.25">
      <c r="A40" s="19">
        <f>A38+1</f>
        <v>2</v>
      </c>
      <c r="B40" s="20" t="s">
        <v>124</v>
      </c>
    </row>
    <row r="41" spans="1:2" x14ac:dyDescent="0.25">
      <c r="A41" s="19"/>
    </row>
    <row r="42" spans="1:2" x14ac:dyDescent="0.25">
      <c r="A42" s="19">
        <f>A40+1</f>
        <v>3</v>
      </c>
      <c r="B42" s="18" t="s">
        <v>109</v>
      </c>
    </row>
    <row r="43" spans="1:2" x14ac:dyDescent="0.25">
      <c r="A43" s="19"/>
    </row>
    <row r="44" spans="1:2" ht="26.4" x14ac:dyDescent="0.25">
      <c r="A44" s="19">
        <f>A42+1</f>
        <v>4</v>
      </c>
      <c r="B44" s="18" t="s">
        <v>108</v>
      </c>
    </row>
    <row r="45" spans="1:2" x14ac:dyDescent="0.25">
      <c r="A45" s="19"/>
    </row>
    <row r="46" spans="1:2" ht="26.4" x14ac:dyDescent="0.25">
      <c r="A46" s="19">
        <f>A44+1</f>
        <v>5</v>
      </c>
      <c r="B46" s="18" t="s">
        <v>114</v>
      </c>
    </row>
    <row r="47" spans="1:2" x14ac:dyDescent="0.25">
      <c r="A47" s="19"/>
      <c r="B47" s="18"/>
    </row>
    <row r="48" spans="1:2" x14ac:dyDescent="0.25">
      <c r="A48" s="763">
        <f>A46+1</f>
        <v>6</v>
      </c>
      <c r="B48" s="18" t="s">
        <v>332</v>
      </c>
    </row>
    <row r="49" spans="1:2" x14ac:dyDescent="0.25">
      <c r="A49" s="763"/>
      <c r="B49" s="18"/>
    </row>
    <row r="50" spans="1:2" ht="52.8" x14ac:dyDescent="0.25">
      <c r="A50" s="763">
        <f>A48+1</f>
        <v>7</v>
      </c>
      <c r="B50" s="17" t="s">
        <v>110</v>
      </c>
    </row>
    <row r="51" spans="1:2" x14ac:dyDescent="0.25">
      <c r="A51" s="763"/>
      <c r="B51" s="18"/>
    </row>
    <row r="52" spans="1:2" ht="39.6" x14ac:dyDescent="0.25">
      <c r="A52" s="763">
        <f>A50+1</f>
        <v>8</v>
      </c>
      <c r="B52" s="18" t="s">
        <v>301</v>
      </c>
    </row>
    <row r="53" spans="1:2" x14ac:dyDescent="0.25">
      <c r="A53" s="763"/>
      <c r="B53" s="18"/>
    </row>
    <row r="54" spans="1:2" ht="52.8" x14ac:dyDescent="0.25">
      <c r="A54" s="763">
        <f>A52+1</f>
        <v>9</v>
      </c>
      <c r="B54" s="17" t="s">
        <v>111</v>
      </c>
    </row>
    <row r="55" spans="1:2" x14ac:dyDescent="0.25">
      <c r="A55" s="763"/>
      <c r="B55" s="17"/>
    </row>
    <row r="56" spans="1:2" ht="39.6" x14ac:dyDescent="0.25">
      <c r="A56" s="763">
        <f>A54+1</f>
        <v>10</v>
      </c>
      <c r="B56" s="17" t="s">
        <v>167</v>
      </c>
    </row>
    <row r="57" spans="1:2" x14ac:dyDescent="0.25">
      <c r="A57" s="763"/>
      <c r="B57" s="18"/>
    </row>
    <row r="58" spans="1:2" ht="26.4" x14ac:dyDescent="0.25">
      <c r="A58" s="763">
        <f>A56+1</f>
        <v>11</v>
      </c>
      <c r="B58" s="18" t="s">
        <v>168</v>
      </c>
    </row>
    <row r="59" spans="1:2" x14ac:dyDescent="0.25">
      <c r="A59" s="763"/>
      <c r="B59" s="17"/>
    </row>
    <row r="60" spans="1:2" ht="33" customHeight="1" x14ac:dyDescent="0.25">
      <c r="A60" s="763">
        <f>A58+1</f>
        <v>12</v>
      </c>
      <c r="B60" s="17" t="s">
        <v>333</v>
      </c>
    </row>
    <row r="61" spans="1:2" x14ac:dyDescent="0.25">
      <c r="A61" s="763"/>
      <c r="B61" s="17"/>
    </row>
    <row r="62" spans="1:2" ht="39.6" x14ac:dyDescent="0.25">
      <c r="A62" s="763">
        <f>A60+1</f>
        <v>13</v>
      </c>
      <c r="B62" s="17" t="s">
        <v>334</v>
      </c>
    </row>
    <row r="63" spans="1:2" x14ac:dyDescent="0.25">
      <c r="A63" s="763"/>
      <c r="B63" s="18"/>
    </row>
    <row r="64" spans="1:2" ht="15.6" x14ac:dyDescent="0.25">
      <c r="A64" s="840" t="s">
        <v>38</v>
      </c>
      <c r="B64" s="841" t="s">
        <v>508</v>
      </c>
    </row>
    <row r="65" spans="1:2" x14ac:dyDescent="0.25">
      <c r="A65" s="842"/>
      <c r="B65" s="843"/>
    </row>
    <row r="66" spans="1:2" ht="45" x14ac:dyDescent="0.25">
      <c r="A66" s="842"/>
      <c r="B66" s="844" t="s">
        <v>517</v>
      </c>
    </row>
    <row r="67" spans="1:2" x14ac:dyDescent="0.25">
      <c r="A67" s="842"/>
      <c r="B67" s="843"/>
    </row>
    <row r="68" spans="1:2" ht="30" x14ac:dyDescent="0.25">
      <c r="A68" s="842" t="s">
        <v>428</v>
      </c>
      <c r="B68" s="843" t="s">
        <v>509</v>
      </c>
    </row>
    <row r="69" spans="1:2" x14ac:dyDescent="0.25">
      <c r="A69" s="842"/>
      <c r="B69" s="843"/>
    </row>
    <row r="70" spans="1:2" x14ac:dyDescent="0.25">
      <c r="A70" s="842" t="s">
        <v>429</v>
      </c>
      <c r="B70" s="843" t="s">
        <v>510</v>
      </c>
    </row>
    <row r="71" spans="1:2" x14ac:dyDescent="0.25">
      <c r="A71" s="842"/>
      <c r="B71" s="843"/>
    </row>
    <row r="72" spans="1:2" ht="30" x14ac:dyDescent="0.25">
      <c r="A72" s="842" t="s">
        <v>430</v>
      </c>
      <c r="B72" s="843" t="s">
        <v>511</v>
      </c>
    </row>
    <row r="73" spans="1:2" x14ac:dyDescent="0.25">
      <c r="A73" s="842"/>
      <c r="B73" s="843"/>
    </row>
    <row r="74" spans="1:2" x14ac:dyDescent="0.25">
      <c r="A74" s="842" t="s">
        <v>431</v>
      </c>
      <c r="B74" s="845" t="s">
        <v>512</v>
      </c>
    </row>
    <row r="75" spans="1:2" x14ac:dyDescent="0.25">
      <c r="A75" s="842"/>
      <c r="B75" s="843"/>
    </row>
    <row r="76" spans="1:2" ht="30" x14ac:dyDescent="0.25">
      <c r="A76" s="842" t="s">
        <v>513</v>
      </c>
      <c r="B76" s="843" t="s">
        <v>514</v>
      </c>
    </row>
    <row r="77" spans="1:2" x14ac:dyDescent="0.25">
      <c r="A77" s="842"/>
      <c r="B77" s="843"/>
    </row>
    <row r="78" spans="1:2" ht="30" x14ac:dyDescent="0.25">
      <c r="A78" s="842" t="s">
        <v>515</v>
      </c>
      <c r="B78" s="845" t="s">
        <v>516</v>
      </c>
    </row>
    <row r="79" spans="1:2" x14ac:dyDescent="0.25">
      <c r="A79" s="763"/>
      <c r="B79" s="18"/>
    </row>
    <row r="80" spans="1:2" x14ac:dyDescent="0.25">
      <c r="A80" s="763"/>
      <c r="B80" s="18" t="s">
        <v>23</v>
      </c>
    </row>
    <row r="81" spans="1:2" ht="42.75" customHeight="1" x14ac:dyDescent="0.25">
      <c r="A81" s="763"/>
      <c r="B81" s="1251" t="s">
        <v>645</v>
      </c>
    </row>
    <row r="82" spans="1:2" x14ac:dyDescent="0.25">
      <c r="A82" s="764"/>
      <c r="B82" s="764"/>
    </row>
    <row r="116" spans="1:1" x14ac:dyDescent="0.25">
      <c r="A116" s="275" t="s">
        <v>208</v>
      </c>
    </row>
  </sheetData>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O65"/>
  <sheetViews>
    <sheetView topLeftCell="A28" zoomScale="75" zoomScaleNormal="75" workbookViewId="0">
      <selection activeCell="L44" sqref="L44"/>
    </sheetView>
  </sheetViews>
  <sheetFormatPr defaultRowHeight="15" x14ac:dyDescent="0.25"/>
  <sheetData>
    <row r="1" spans="1:15" ht="15.6" thickTop="1" x14ac:dyDescent="0.25">
      <c r="A1" s="1340"/>
      <c r="B1" s="1341"/>
      <c r="C1" s="1341"/>
      <c r="D1" s="1342" t="s">
        <v>391</v>
      </c>
      <c r="E1" s="1343"/>
      <c r="F1" s="1343"/>
      <c r="G1" s="1341"/>
      <c r="H1" s="1341"/>
      <c r="I1" s="1341"/>
      <c r="J1" s="1341"/>
      <c r="K1" s="1341"/>
      <c r="L1" s="1341"/>
      <c r="M1" s="1344" t="s">
        <v>392</v>
      </c>
      <c r="N1" s="1345"/>
      <c r="O1" s="1344"/>
    </row>
    <row r="2" spans="1:15" x14ac:dyDescent="0.25">
      <c r="A2" s="1346"/>
      <c r="B2" s="1347"/>
      <c r="C2" s="1348"/>
      <c r="D2" s="1348" t="s">
        <v>393</v>
      </c>
      <c r="E2" s="1348"/>
      <c r="F2" s="1348"/>
      <c r="G2" s="1348"/>
      <c r="H2" s="1348"/>
      <c r="I2" s="1348"/>
      <c r="J2" s="1348"/>
      <c r="K2" s="1348"/>
      <c r="L2" s="1348"/>
      <c r="M2" s="1348"/>
      <c r="N2" s="1347" t="s">
        <v>394</v>
      </c>
      <c r="O2" s="1349"/>
    </row>
    <row r="3" spans="1:15" x14ac:dyDescent="0.25">
      <c r="A3" s="1346"/>
      <c r="B3" s="1347"/>
      <c r="C3" s="1348"/>
      <c r="D3" s="1348"/>
      <c r="E3" s="1348"/>
      <c r="F3" s="1348"/>
      <c r="G3" s="1348"/>
      <c r="H3" s="1348"/>
      <c r="I3" s="1348"/>
      <c r="J3" s="1348"/>
      <c r="K3" s="1348"/>
      <c r="L3" s="1348"/>
      <c r="M3" s="1348"/>
      <c r="N3" s="1348"/>
      <c r="O3" s="1349"/>
    </row>
    <row r="4" spans="1:15" x14ac:dyDescent="0.25">
      <c r="A4" s="1346"/>
      <c r="B4" s="1347"/>
      <c r="C4" s="1348"/>
      <c r="D4" s="1348"/>
      <c r="E4" s="1350"/>
      <c r="F4" s="1351" t="s">
        <v>395</v>
      </c>
      <c r="G4" s="1352">
        <v>0</v>
      </c>
      <c r="H4" s="1353"/>
      <c r="I4" s="1354" t="s">
        <v>342</v>
      </c>
      <c r="J4" s="1355"/>
      <c r="K4" s="1348"/>
      <c r="L4" s="1348"/>
      <c r="M4" s="1356" t="s">
        <v>396</v>
      </c>
      <c r="N4" s="1348"/>
      <c r="O4" s="1357"/>
    </row>
    <row r="5" spans="1:15" x14ac:dyDescent="0.25">
      <c r="A5" s="1346"/>
      <c r="B5" s="1347"/>
      <c r="C5" s="1348"/>
      <c r="D5" s="1348"/>
      <c r="E5" s="1985" t="s">
        <v>397</v>
      </c>
      <c r="F5" s="1986"/>
      <c r="G5" s="1358">
        <f>'Input Data'!D7</f>
        <v>0</v>
      </c>
      <c r="H5" s="1359"/>
      <c r="I5" s="1348"/>
      <c r="J5" s="1348"/>
      <c r="K5" s="1348"/>
      <c r="L5" s="1348"/>
      <c r="M5" s="1356" t="s">
        <v>398</v>
      </c>
      <c r="N5" s="1987"/>
      <c r="O5" s="1988"/>
    </row>
    <row r="6" spans="1:15" x14ac:dyDescent="0.25">
      <c r="A6" s="1360" t="s">
        <v>399</v>
      </c>
      <c r="B6" s="1347"/>
      <c r="C6" s="1361"/>
      <c r="D6" s="1362" t="s">
        <v>342</v>
      </c>
      <c r="E6" s="1363"/>
      <c r="F6" s="1363"/>
      <c r="G6" s="1363"/>
      <c r="H6" s="1363"/>
      <c r="I6" s="1363"/>
      <c r="J6" s="1363"/>
      <c r="K6" s="1363"/>
      <c r="L6" s="1363"/>
      <c r="M6" s="1363"/>
      <c r="N6" s="1348"/>
      <c r="O6" s="1349"/>
    </row>
    <row r="7" spans="1:15" x14ac:dyDescent="0.25">
      <c r="A7" s="1360" t="s">
        <v>400</v>
      </c>
      <c r="B7" s="1347"/>
      <c r="C7" s="1354"/>
      <c r="D7" s="1362" t="s">
        <v>342</v>
      </c>
      <c r="E7" s="1363"/>
      <c r="F7" s="1363"/>
      <c r="G7" s="1363"/>
      <c r="H7" s="1363"/>
      <c r="I7" s="1363"/>
      <c r="J7" s="1364"/>
      <c r="K7" s="1363"/>
      <c r="L7" s="1363"/>
      <c r="M7" s="1363"/>
      <c r="N7" s="1348"/>
      <c r="O7" s="1349"/>
    </row>
    <row r="8" spans="1:15" x14ac:dyDescent="0.25">
      <c r="A8" s="1346"/>
      <c r="B8" s="1347"/>
      <c r="C8" s="1348"/>
      <c r="D8" s="1347"/>
      <c r="E8" s="1347"/>
      <c r="F8" s="1347"/>
      <c r="G8" s="1347"/>
      <c r="H8" s="1347"/>
      <c r="I8" s="1347"/>
      <c r="J8" s="1365"/>
      <c r="K8" s="1347"/>
      <c r="L8" s="1347"/>
      <c r="M8" s="1347"/>
      <c r="N8" s="1347"/>
      <c r="O8" s="1349"/>
    </row>
    <row r="9" spans="1:15" x14ac:dyDescent="0.25">
      <c r="A9" s="1360" t="s">
        <v>401</v>
      </c>
      <c r="B9" s="1347"/>
      <c r="C9" s="1362" t="s">
        <v>402</v>
      </c>
      <c r="D9" s="1348"/>
      <c r="E9" s="1348"/>
      <c r="F9" s="1348"/>
      <c r="G9" s="1348"/>
      <c r="H9" s="1347"/>
      <c r="I9" s="1347"/>
      <c r="J9" s="1348"/>
      <c r="K9" s="1348"/>
      <c r="L9" s="1348"/>
      <c r="M9" s="1348"/>
      <c r="N9" s="1348"/>
      <c r="O9" s="1349"/>
    </row>
    <row r="10" spans="1:15" x14ac:dyDescent="0.25">
      <c r="A10" s="1366" t="s">
        <v>403</v>
      </c>
      <c r="B10" s="1367"/>
      <c r="C10" s="1368"/>
      <c r="D10" s="1368"/>
      <c r="E10" s="1368"/>
      <c r="F10" s="1368"/>
      <c r="G10" s="1368"/>
      <c r="H10" s="1369" t="s">
        <v>404</v>
      </c>
      <c r="I10" s="1370"/>
      <c r="J10" s="1371" t="s">
        <v>405</v>
      </c>
      <c r="K10" s="1372" t="s">
        <v>406</v>
      </c>
      <c r="L10" s="1373"/>
      <c r="M10" s="1374"/>
      <c r="N10" s="1375" t="s">
        <v>407</v>
      </c>
      <c r="O10" s="1376" t="s">
        <v>408</v>
      </c>
    </row>
    <row r="11" spans="1:15" x14ac:dyDescent="0.25">
      <c r="A11" s="1377"/>
      <c r="B11" s="1378"/>
      <c r="C11" s="1379"/>
      <c r="D11" s="1380" t="s">
        <v>409</v>
      </c>
      <c r="E11" s="1381"/>
      <c r="F11" s="1382" t="s">
        <v>410</v>
      </c>
      <c r="G11" s="1383"/>
      <c r="H11" s="1384" t="s">
        <v>411</v>
      </c>
      <c r="I11" s="1347"/>
      <c r="J11" s="1385" t="s">
        <v>412</v>
      </c>
      <c r="K11" s="1386" t="s">
        <v>413</v>
      </c>
      <c r="L11" s="1378" t="s">
        <v>414</v>
      </c>
      <c r="M11" s="1371" t="s">
        <v>415</v>
      </c>
      <c r="N11" s="1387" t="s">
        <v>416</v>
      </c>
      <c r="O11" s="1388" t="s">
        <v>417</v>
      </c>
    </row>
    <row r="12" spans="1:15" x14ac:dyDescent="0.25">
      <c r="A12" s="1389"/>
      <c r="B12" s="1989" t="s">
        <v>4</v>
      </c>
      <c r="C12" s="1990"/>
      <c r="D12" s="1390" t="s">
        <v>418</v>
      </c>
      <c r="E12" s="1391"/>
      <c r="F12" s="1392" t="s">
        <v>418</v>
      </c>
      <c r="G12" s="1391"/>
      <c r="H12" s="1989" t="s">
        <v>419</v>
      </c>
      <c r="I12" s="1991"/>
      <c r="J12" s="1393" t="s">
        <v>420</v>
      </c>
      <c r="K12" s="1394" t="s">
        <v>421</v>
      </c>
      <c r="L12" s="1392" t="s">
        <v>422</v>
      </c>
      <c r="M12" s="1395" t="s">
        <v>423</v>
      </c>
      <c r="N12" s="1393" t="s">
        <v>424</v>
      </c>
      <c r="O12" s="1396" t="s">
        <v>425</v>
      </c>
    </row>
    <row r="13" spans="1:15" x14ac:dyDescent="0.25">
      <c r="A13" s="1397" t="s">
        <v>426</v>
      </c>
      <c r="B13" s="1398"/>
      <c r="C13" s="1399"/>
      <c r="D13" s="1992"/>
      <c r="E13" s="1993"/>
      <c r="F13" s="1398"/>
      <c r="G13" s="1399"/>
      <c r="H13" s="1400"/>
      <c r="I13" s="1401"/>
      <c r="J13" s="1402"/>
      <c r="K13" s="1403"/>
      <c r="L13" s="1404"/>
      <c r="M13" s="1405"/>
      <c r="N13" s="1399"/>
      <c r="O13" s="1406"/>
    </row>
    <row r="14" spans="1:15" x14ac:dyDescent="0.25">
      <c r="A14" s="1407" t="s">
        <v>427</v>
      </c>
      <c r="B14" s="1408"/>
      <c r="C14" s="1409"/>
      <c r="D14" s="1394"/>
      <c r="E14" s="1410"/>
      <c r="F14" s="1408"/>
      <c r="G14" s="1409"/>
      <c r="H14" s="1411"/>
      <c r="I14" s="1412"/>
      <c r="J14" s="1413"/>
      <c r="K14" s="1414"/>
      <c r="L14" s="1414"/>
      <c r="M14" s="1415"/>
      <c r="N14" s="1393"/>
      <c r="O14" s="1416"/>
    </row>
    <row r="15" spans="1:15" x14ac:dyDescent="0.25">
      <c r="A15" s="1417"/>
      <c r="B15" s="1418"/>
      <c r="C15" s="1347"/>
      <c r="D15" s="1387"/>
      <c r="E15" s="1419"/>
      <c r="F15" s="1418"/>
      <c r="G15" s="1347"/>
      <c r="H15" s="1347"/>
      <c r="I15" s="1347"/>
      <c r="J15" s="1361" t="s">
        <v>428</v>
      </c>
      <c r="K15" s="1387" t="s">
        <v>429</v>
      </c>
      <c r="L15" s="1361" t="s">
        <v>430</v>
      </c>
      <c r="M15" s="1387" t="s">
        <v>431</v>
      </c>
      <c r="N15" s="1347"/>
      <c r="O15" s="1420" t="s">
        <v>9</v>
      </c>
    </row>
    <row r="16" spans="1:15" ht="15.6" thickBot="1" x14ac:dyDescent="0.3">
      <c r="A16" s="1346" t="s">
        <v>432</v>
      </c>
      <c r="B16" s="1418"/>
      <c r="C16" s="1347"/>
      <c r="D16" s="1387"/>
      <c r="E16" s="1419"/>
      <c r="F16" s="1418"/>
      <c r="G16" s="1347"/>
      <c r="H16" s="1347"/>
      <c r="I16" s="1347"/>
      <c r="J16" s="1362" t="s">
        <v>433</v>
      </c>
      <c r="K16" s="1347"/>
      <c r="L16" s="1421"/>
      <c r="M16" s="1362"/>
      <c r="N16" s="1347"/>
      <c r="O16" s="1422">
        <f>J13+J14+K13+K14+L13+L14+M13+M14</f>
        <v>0</v>
      </c>
    </row>
    <row r="17" spans="1:15" x14ac:dyDescent="0.25">
      <c r="A17" s="1346" t="s">
        <v>434</v>
      </c>
      <c r="B17" s="1418"/>
      <c r="C17" s="1347"/>
      <c r="D17" s="1387"/>
      <c r="E17" s="1423"/>
      <c r="F17" s="1418"/>
      <c r="G17" s="1347"/>
      <c r="H17" s="1347"/>
      <c r="I17" s="1347"/>
      <c r="J17" s="1387"/>
      <c r="K17" s="1424"/>
      <c r="L17" s="1425"/>
      <c r="M17" s="1426"/>
      <c r="N17" s="1427" t="s">
        <v>435</v>
      </c>
      <c r="O17" s="1428" t="s">
        <v>9</v>
      </c>
    </row>
    <row r="18" spans="1:15" ht="15.6" thickBot="1" x14ac:dyDescent="0.3">
      <c r="A18" s="1429" t="s">
        <v>436</v>
      </c>
      <c r="B18" s="1430"/>
      <c r="C18" s="1431"/>
      <c r="D18" s="1432"/>
      <c r="E18" s="1433"/>
      <c r="F18" s="1430"/>
      <c r="G18" s="1431"/>
      <c r="H18" s="1431"/>
      <c r="I18" s="1431"/>
      <c r="J18" s="1432"/>
      <c r="K18" s="1434" t="s">
        <v>437</v>
      </c>
      <c r="L18" s="1433"/>
      <c r="M18" s="1432"/>
      <c r="N18" s="1435">
        <v>0</v>
      </c>
      <c r="O18" s="1436"/>
    </row>
    <row r="19" spans="1:15" ht="15.6" thickTop="1" x14ac:dyDescent="0.25">
      <c r="A19" s="1346"/>
      <c r="B19" s="1418"/>
      <c r="C19" s="1347"/>
      <c r="D19" s="1387"/>
      <c r="E19" s="1423"/>
      <c r="F19" s="1418"/>
      <c r="G19" s="1347"/>
      <c r="H19" s="1347"/>
      <c r="I19" s="1347"/>
      <c r="J19" s="1387"/>
      <c r="K19" s="1418"/>
      <c r="L19" s="1423"/>
      <c r="M19" s="1387"/>
      <c r="N19" s="1387"/>
      <c r="O19" s="1437"/>
    </row>
    <row r="20" spans="1:15" x14ac:dyDescent="0.25">
      <c r="A20" s="1366" t="s">
        <v>438</v>
      </c>
      <c r="B20" s="1368"/>
      <c r="C20" s="1367"/>
      <c r="D20" s="1368"/>
      <c r="E20" s="1368"/>
      <c r="F20" s="1368"/>
      <c r="G20" s="1368"/>
      <c r="H20" s="1368"/>
      <c r="I20" s="1368"/>
      <c r="J20" s="1368"/>
      <c r="K20" s="1368"/>
      <c r="L20" s="1368"/>
      <c r="M20" s="1368"/>
      <c r="N20" s="1368"/>
      <c r="O20" s="1438"/>
    </row>
    <row r="21" spans="1:15" x14ac:dyDescent="0.25">
      <c r="A21" s="1439"/>
      <c r="B21" s="1367" t="s">
        <v>439</v>
      </c>
      <c r="C21" s="1409"/>
      <c r="D21" s="1368"/>
      <c r="E21" s="1368"/>
      <c r="F21" s="1368"/>
      <c r="G21" s="1368"/>
      <c r="H21" s="1440"/>
      <c r="I21" s="1367" t="s">
        <v>440</v>
      </c>
      <c r="J21" s="1368"/>
      <c r="K21" s="1367"/>
      <c r="L21" s="1368"/>
      <c r="M21" s="1441" t="s">
        <v>441</v>
      </c>
      <c r="N21" s="1372"/>
      <c r="O21" s="1442"/>
    </row>
    <row r="22" spans="1:15" x14ac:dyDescent="0.25">
      <c r="A22" s="1443" t="s">
        <v>442</v>
      </c>
      <c r="B22" s="1391"/>
      <c r="C22" s="1444"/>
      <c r="D22" s="1445" t="s">
        <v>443</v>
      </c>
      <c r="E22" s="1391"/>
      <c r="F22" s="1393"/>
      <c r="G22" s="1393"/>
      <c r="H22" s="1446" t="s">
        <v>444</v>
      </c>
      <c r="I22" s="1368"/>
      <c r="J22" s="1368"/>
      <c r="K22" s="1447" t="s">
        <v>445</v>
      </c>
      <c r="L22" s="1368"/>
      <c r="M22" s="1448" t="s">
        <v>446</v>
      </c>
      <c r="N22" s="1449" t="s">
        <v>437</v>
      </c>
      <c r="O22" s="1450"/>
    </row>
    <row r="23" spans="1:15" x14ac:dyDescent="0.25">
      <c r="A23" s="1407" t="s">
        <v>421</v>
      </c>
      <c r="B23" s="1445" t="s">
        <v>4</v>
      </c>
      <c r="C23" s="1391"/>
      <c r="D23" s="1445" t="s">
        <v>421</v>
      </c>
      <c r="E23" s="1391"/>
      <c r="F23" s="1451" t="s">
        <v>4</v>
      </c>
      <c r="G23" s="1393"/>
      <c r="H23" s="1994" t="s">
        <v>421</v>
      </c>
      <c r="I23" s="1995"/>
      <c r="J23" s="1451" t="s">
        <v>4</v>
      </c>
      <c r="K23" s="1451" t="s">
        <v>421</v>
      </c>
      <c r="L23" s="1451" t="s">
        <v>4</v>
      </c>
      <c r="M23" s="1452" t="s">
        <v>421</v>
      </c>
      <c r="N23" s="1453" t="s">
        <v>435</v>
      </c>
      <c r="O23" s="1454" t="s">
        <v>447</v>
      </c>
    </row>
    <row r="24" spans="1:15" x14ac:dyDescent="0.25">
      <c r="A24" s="1455"/>
      <c r="B24" s="1456"/>
      <c r="C24" s="1363"/>
      <c r="D24" s="1457"/>
      <c r="E24" s="1458"/>
      <c r="F24" s="1456"/>
      <c r="G24" s="1363"/>
      <c r="H24" s="1459"/>
      <c r="I24" s="1460"/>
      <c r="J24" s="1461"/>
      <c r="K24" s="1456"/>
      <c r="L24" s="1461"/>
      <c r="M24" s="1462"/>
      <c r="N24" s="1463"/>
      <c r="O24" s="1464"/>
    </row>
    <row r="25" spans="1:15" x14ac:dyDescent="0.25">
      <c r="A25" s="1455"/>
      <c r="B25" s="1456"/>
      <c r="C25" s="1363"/>
      <c r="D25" s="1457"/>
      <c r="E25" s="1458"/>
      <c r="F25" s="1456"/>
      <c r="G25" s="1363"/>
      <c r="H25" s="1459"/>
      <c r="I25" s="1460"/>
      <c r="J25" s="1461"/>
      <c r="K25" s="1456"/>
      <c r="L25" s="1461"/>
      <c r="M25" s="1462"/>
      <c r="N25" s="1463"/>
      <c r="O25" s="1464"/>
    </row>
    <row r="26" spans="1:15" x14ac:dyDescent="0.25">
      <c r="A26" s="1465"/>
      <c r="B26" s="1408"/>
      <c r="C26" s="1409"/>
      <c r="D26" s="1466"/>
      <c r="E26" s="1467"/>
      <c r="F26" s="1408"/>
      <c r="G26" s="1409"/>
      <c r="H26" s="1459"/>
      <c r="I26" s="1412"/>
      <c r="J26" s="1468"/>
      <c r="K26" s="1408"/>
      <c r="L26" s="1468"/>
      <c r="M26" s="1469"/>
      <c r="N26" s="1393"/>
      <c r="O26" s="1470"/>
    </row>
    <row r="27" spans="1:15" ht="15.6" thickBot="1" x14ac:dyDescent="0.3">
      <c r="A27" s="1471"/>
      <c r="B27" s="1472"/>
      <c r="C27" s="1472"/>
      <c r="D27" s="1472"/>
      <c r="E27" s="1472"/>
      <c r="F27" s="1472"/>
      <c r="G27" s="1472"/>
      <c r="H27" s="1473"/>
      <c r="I27" s="1472"/>
      <c r="J27" s="1472"/>
      <c r="K27" s="1472"/>
      <c r="L27" s="1474" t="s">
        <v>448</v>
      </c>
      <c r="M27" s="1475"/>
      <c r="N27" s="1476"/>
      <c r="O27" s="1477"/>
    </row>
    <row r="28" spans="1:15" ht="15.6" thickTop="1" x14ac:dyDescent="0.25">
      <c r="A28" s="1346"/>
      <c r="B28" s="1347"/>
      <c r="C28" s="1348"/>
      <c r="D28" s="1348"/>
      <c r="E28" s="1348"/>
      <c r="F28" s="1348"/>
      <c r="G28" s="1348"/>
      <c r="H28" s="1362"/>
      <c r="I28" s="1347"/>
      <c r="J28" s="1361"/>
      <c r="K28" s="1387"/>
      <c r="L28" s="1361"/>
      <c r="M28" s="1387"/>
      <c r="N28" s="1347"/>
      <c r="O28" s="1349"/>
    </row>
    <row r="29" spans="1:15" x14ac:dyDescent="0.25">
      <c r="A29" s="1360" t="s">
        <v>449</v>
      </c>
      <c r="B29" s="1347"/>
      <c r="C29" s="1409"/>
      <c r="D29" s="1348"/>
      <c r="E29" s="1348"/>
      <c r="F29" s="1348"/>
      <c r="G29" s="1348"/>
      <c r="H29" s="1348"/>
      <c r="I29" s="1348"/>
      <c r="J29" s="1348"/>
      <c r="K29" s="1348"/>
      <c r="L29" s="1348"/>
      <c r="M29" s="1348"/>
      <c r="N29" s="1348"/>
      <c r="O29" s="1349"/>
    </row>
    <row r="30" spans="1:15" x14ac:dyDescent="0.25">
      <c r="A30" s="1366" t="s">
        <v>450</v>
      </c>
      <c r="B30" s="1367"/>
      <c r="C30" s="1409"/>
      <c r="D30" s="1368"/>
      <c r="E30" s="1368"/>
      <c r="F30" s="1368"/>
      <c r="G30" s="1478"/>
      <c r="H30" s="1347"/>
      <c r="I30" s="1348"/>
      <c r="J30" s="1447" t="s">
        <v>451</v>
      </c>
      <c r="K30" s="1479"/>
      <c r="L30" s="1368"/>
      <c r="M30" s="1368"/>
      <c r="N30" s="1368"/>
      <c r="O30" s="1480"/>
    </row>
    <row r="31" spans="1:15" x14ac:dyDescent="0.25">
      <c r="A31" s="1443" t="s">
        <v>452</v>
      </c>
      <c r="B31" s="1391"/>
      <c r="C31" s="1481"/>
      <c r="D31" s="1350" t="s">
        <v>453</v>
      </c>
      <c r="E31" s="1348"/>
      <c r="F31" s="1482" t="s">
        <v>454</v>
      </c>
      <c r="G31" s="1483"/>
      <c r="H31" s="1347"/>
      <c r="I31" s="1348"/>
      <c r="J31" s="1447" t="s">
        <v>455</v>
      </c>
      <c r="K31" s="1368"/>
      <c r="L31" s="1368"/>
      <c r="M31" s="1368"/>
      <c r="N31" s="1368"/>
      <c r="O31" s="1484" t="s">
        <v>456</v>
      </c>
    </row>
    <row r="32" spans="1:15" x14ac:dyDescent="0.25">
      <c r="A32" s="1407" t="s">
        <v>435</v>
      </c>
      <c r="B32" s="1485" t="s">
        <v>457</v>
      </c>
      <c r="C32" s="1486"/>
      <c r="D32" s="1487" t="s">
        <v>5</v>
      </c>
      <c r="E32" s="1391"/>
      <c r="F32" s="1488" t="s">
        <v>458</v>
      </c>
      <c r="G32" s="1412"/>
      <c r="H32" s="1387"/>
      <c r="I32" s="1348"/>
      <c r="J32" s="1488" t="s">
        <v>459</v>
      </c>
      <c r="K32" s="1409"/>
      <c r="L32" s="1489"/>
      <c r="M32" s="1490"/>
      <c r="N32" s="1490"/>
      <c r="O32" s="1491"/>
    </row>
    <row r="33" spans="1:15" x14ac:dyDescent="0.25">
      <c r="A33" s="1492">
        <v>0</v>
      </c>
      <c r="B33" s="1493"/>
      <c r="C33" s="1494"/>
      <c r="D33" s="1495"/>
      <c r="E33" s="1496" t="s">
        <v>460</v>
      </c>
      <c r="F33" s="1497">
        <f>A33*D33</f>
        <v>0</v>
      </c>
      <c r="G33" s="1401"/>
      <c r="H33" s="1387"/>
      <c r="I33" s="1348"/>
      <c r="J33" s="1371" t="s">
        <v>6</v>
      </c>
      <c r="K33" s="1371" t="s">
        <v>6</v>
      </c>
      <c r="L33" s="1371" t="s">
        <v>461</v>
      </c>
      <c r="M33" s="1498" t="s">
        <v>6</v>
      </c>
      <c r="N33" s="1498" t="s">
        <v>462</v>
      </c>
      <c r="O33" s="1499" t="s">
        <v>463</v>
      </c>
    </row>
    <row r="34" spans="1:15" x14ac:dyDescent="0.25">
      <c r="A34" s="1500">
        <v>0</v>
      </c>
      <c r="B34" s="1501" t="s">
        <v>464</v>
      </c>
      <c r="C34" s="1502"/>
      <c r="D34" s="1503"/>
      <c r="E34" s="1504" t="s">
        <v>460</v>
      </c>
      <c r="F34" s="1505">
        <f>A34*D34</f>
        <v>0</v>
      </c>
      <c r="G34" s="1460"/>
      <c r="H34" s="1347"/>
      <c r="I34" s="1348"/>
      <c r="J34" s="1395" t="s">
        <v>465</v>
      </c>
      <c r="K34" s="1395" t="s">
        <v>466</v>
      </c>
      <c r="L34" s="1395" t="s">
        <v>467</v>
      </c>
      <c r="M34" s="1453" t="s">
        <v>447</v>
      </c>
      <c r="N34" s="1453" t="s">
        <v>5</v>
      </c>
      <c r="O34" s="1506" t="s">
        <v>458</v>
      </c>
    </row>
    <row r="35" spans="1:15" x14ac:dyDescent="0.25">
      <c r="A35" s="1507"/>
      <c r="B35" s="1508">
        <v>0</v>
      </c>
      <c r="C35" s="1509" t="s">
        <v>468</v>
      </c>
      <c r="D35" s="1510"/>
      <c r="E35" s="1511" t="s">
        <v>469</v>
      </c>
      <c r="F35" s="1512">
        <f>B35*D35</f>
        <v>0</v>
      </c>
      <c r="G35" s="1509"/>
      <c r="H35" s="1347"/>
      <c r="I35" s="1348"/>
      <c r="J35" s="1513"/>
      <c r="K35" s="1514"/>
      <c r="L35" s="1515"/>
      <c r="M35" s="1516"/>
      <c r="N35" s="1517"/>
      <c r="O35" s="1518"/>
    </row>
    <row r="36" spans="1:15" x14ac:dyDescent="0.25">
      <c r="A36" s="1519" t="s">
        <v>464</v>
      </c>
      <c r="B36" s="1520">
        <v>0</v>
      </c>
      <c r="C36" s="1409" t="s">
        <v>468</v>
      </c>
      <c r="D36" s="1521"/>
      <c r="E36" s="1522" t="s">
        <v>469</v>
      </c>
      <c r="F36" s="1523">
        <f>B36*D36</f>
        <v>0</v>
      </c>
      <c r="G36" s="1412"/>
      <c r="H36" s="1347"/>
      <c r="I36" s="1348"/>
      <c r="J36" s="1413">
        <f>M27</f>
        <v>0</v>
      </c>
      <c r="K36" s="1524" t="s">
        <v>470</v>
      </c>
      <c r="L36" s="1413"/>
      <c r="M36" s="1415">
        <f>J36-L36</f>
        <v>0</v>
      </c>
      <c r="N36" s="1525"/>
      <c r="O36" s="1526">
        <f>M36*N36</f>
        <v>0</v>
      </c>
    </row>
    <row r="37" spans="1:15" ht="15.6" thickBot="1" x14ac:dyDescent="0.3">
      <c r="A37" s="1527"/>
      <c r="B37" s="1528"/>
      <c r="C37" s="1528"/>
      <c r="D37" s="1529" t="s">
        <v>471</v>
      </c>
      <c r="E37" s="1530"/>
      <c r="F37" s="1531">
        <f>SUM(F33:F36)</f>
        <v>0</v>
      </c>
      <c r="G37" s="1532"/>
      <c r="H37" s="1431"/>
      <c r="I37" s="1431"/>
      <c r="J37" s="1533"/>
      <c r="K37" s="1528"/>
      <c r="L37" s="1528"/>
      <c r="M37" s="1529" t="s">
        <v>472</v>
      </c>
      <c r="N37" s="1431"/>
      <c r="O37" s="1534">
        <f>SUM(O35:O36)</f>
        <v>0</v>
      </c>
    </row>
    <row r="38" spans="1:15" ht="15.6" thickTop="1" x14ac:dyDescent="0.25">
      <c r="A38" s="1346"/>
      <c r="B38" s="1347"/>
      <c r="C38" s="1348"/>
      <c r="D38" s="1362"/>
      <c r="E38" s="1347"/>
      <c r="F38" s="1535"/>
      <c r="G38" s="1347"/>
      <c r="H38" s="1348"/>
      <c r="I38" s="1348"/>
      <c r="J38" s="1348"/>
      <c r="K38" s="1348"/>
      <c r="L38" s="1348"/>
      <c r="M38" s="1348"/>
      <c r="N38" s="1348"/>
      <c r="O38" s="1349"/>
    </row>
    <row r="39" spans="1:15" x14ac:dyDescent="0.25">
      <c r="A39" s="1360" t="s">
        <v>473</v>
      </c>
      <c r="B39" s="1362"/>
      <c r="C39" s="1409"/>
      <c r="D39" s="1348"/>
      <c r="E39" s="1348"/>
      <c r="F39" s="1536"/>
      <c r="G39" s="1348"/>
      <c r="H39" s="1348"/>
      <c r="I39" s="1348"/>
      <c r="J39" s="1348"/>
      <c r="K39" s="1409"/>
      <c r="L39" s="1348"/>
      <c r="M39" s="1348"/>
      <c r="N39" s="1348"/>
      <c r="O39" s="1349"/>
    </row>
    <row r="40" spans="1:15" x14ac:dyDescent="0.25">
      <c r="A40" s="1537" t="s">
        <v>45</v>
      </c>
      <c r="B40" s="1538" t="s">
        <v>474</v>
      </c>
      <c r="C40" s="1539"/>
      <c r="D40" s="1380" t="s">
        <v>475</v>
      </c>
      <c r="E40" s="1379"/>
      <c r="F40" s="1369"/>
      <c r="G40" s="1540"/>
      <c r="H40" s="1538"/>
      <c r="I40" s="1540"/>
      <c r="J40" s="1541" t="s">
        <v>51</v>
      </c>
      <c r="K40" s="1542" t="s">
        <v>476</v>
      </c>
      <c r="L40" s="1541" t="s">
        <v>5</v>
      </c>
      <c r="M40" s="1996" t="s">
        <v>157</v>
      </c>
      <c r="N40" s="1997"/>
      <c r="O40" s="1543" t="s">
        <v>7</v>
      </c>
    </row>
    <row r="41" spans="1:15" x14ac:dyDescent="0.25">
      <c r="A41" s="1407" t="s">
        <v>46</v>
      </c>
      <c r="B41" s="1445" t="s">
        <v>477</v>
      </c>
      <c r="C41" s="1391"/>
      <c r="D41" s="1445" t="s">
        <v>477</v>
      </c>
      <c r="E41" s="1391"/>
      <c r="F41" s="1445" t="s">
        <v>478</v>
      </c>
      <c r="G41" s="1391"/>
      <c r="H41" s="1544" t="s">
        <v>6</v>
      </c>
      <c r="I41" s="1487" t="s">
        <v>456</v>
      </c>
      <c r="J41" s="1451" t="s">
        <v>13</v>
      </c>
      <c r="K41" s="1445" t="s">
        <v>479</v>
      </c>
      <c r="L41" s="1451" t="s">
        <v>480</v>
      </c>
      <c r="M41" s="1451" t="s">
        <v>236</v>
      </c>
      <c r="N41" s="1451" t="s">
        <v>481</v>
      </c>
      <c r="O41" s="1506" t="s">
        <v>482</v>
      </c>
    </row>
    <row r="42" spans="1:15" x14ac:dyDescent="0.25">
      <c r="A42" s="1545" t="s">
        <v>483</v>
      </c>
      <c r="B42" s="1372"/>
      <c r="C42" s="1539"/>
      <c r="D42" s="1372"/>
      <c r="E42" s="1539"/>
      <c r="F42" s="1372"/>
      <c r="G42" s="1539"/>
      <c r="H42" s="1546"/>
      <c r="I42" s="1539"/>
      <c r="J42" s="1386"/>
      <c r="K42" s="1386"/>
      <c r="L42" s="1547"/>
      <c r="M42" s="1548"/>
      <c r="N42" s="1372"/>
      <c r="O42" s="1549"/>
    </row>
    <row r="43" spans="1:15" x14ac:dyDescent="0.25">
      <c r="A43" s="1550" t="s">
        <v>484</v>
      </c>
      <c r="B43" s="1551"/>
      <c r="C43" s="1363" t="s">
        <v>456</v>
      </c>
      <c r="D43" s="1551"/>
      <c r="E43" s="1363" t="s">
        <v>456</v>
      </c>
      <c r="F43" s="1551"/>
      <c r="G43" s="1363" t="s">
        <v>456</v>
      </c>
      <c r="H43" s="1552">
        <f>B43+D43+F43</f>
        <v>0</v>
      </c>
      <c r="I43" s="1363" t="s">
        <v>456</v>
      </c>
      <c r="J43" s="1457" t="s">
        <v>485</v>
      </c>
      <c r="K43" s="1457"/>
      <c r="L43" s="1553"/>
      <c r="M43" s="1622">
        <f>IF('Input Data'!D28&lt;43191,14%,15%)</f>
        <v>0.14000000000000001</v>
      </c>
      <c r="N43" s="1554"/>
      <c r="O43" s="1555">
        <f>H43*L43/100+N43/(1+M43)</f>
        <v>0</v>
      </c>
    </row>
    <row r="44" spans="1:15" x14ac:dyDescent="0.25">
      <c r="A44" s="1556"/>
      <c r="B44" s="1411"/>
      <c r="C44" s="1409"/>
      <c r="D44" s="1411"/>
      <c r="E44" s="1409"/>
      <c r="F44" s="1411"/>
      <c r="G44" s="1409"/>
      <c r="H44" s="1557"/>
      <c r="I44" s="1409"/>
      <c r="J44" s="1394" t="s">
        <v>486</v>
      </c>
      <c r="K44" s="1394"/>
      <c r="L44" s="1558"/>
      <c r="M44" s="1559"/>
      <c r="N44" s="1560">
        <f>N43/1.14</f>
        <v>0</v>
      </c>
      <c r="O44" s="1561"/>
    </row>
    <row r="45" spans="1:15" ht="15.6" thickBot="1" x14ac:dyDescent="0.3">
      <c r="A45" s="1527"/>
      <c r="B45" s="1528"/>
      <c r="C45" s="1528"/>
      <c r="D45" s="1528"/>
      <c r="E45" s="1528"/>
      <c r="F45" s="1528"/>
      <c r="G45" s="1528"/>
      <c r="H45" s="1562"/>
      <c r="I45" s="1528"/>
      <c r="J45" s="1528"/>
      <c r="K45" s="1563"/>
      <c r="L45" s="1472"/>
      <c r="M45" s="1529" t="s">
        <v>487</v>
      </c>
      <c r="N45" s="1530"/>
      <c r="O45" s="1564">
        <f>SUM(O42:O44)</f>
        <v>0</v>
      </c>
    </row>
    <row r="46" spans="1:15" ht="15.6" thickTop="1" x14ac:dyDescent="0.25">
      <c r="A46" s="1346"/>
      <c r="B46" s="1347"/>
      <c r="C46" s="1347"/>
      <c r="D46" s="1347"/>
      <c r="E46" s="1347"/>
      <c r="F46" s="1347"/>
      <c r="G46" s="1347"/>
      <c r="H46" s="1347"/>
      <c r="I46" s="1347"/>
      <c r="J46" s="1347"/>
      <c r="K46" s="1347"/>
      <c r="L46" s="1347"/>
      <c r="M46" s="1347"/>
      <c r="N46" s="1347"/>
      <c r="O46" s="1349"/>
    </row>
    <row r="47" spans="1:15" ht="15.6" thickBot="1" x14ac:dyDescent="0.3">
      <c r="A47" s="1565" t="s">
        <v>488</v>
      </c>
      <c r="B47" s="1566"/>
      <c r="C47" s="1567"/>
      <c r="D47" s="1567"/>
      <c r="E47" s="1567"/>
      <c r="F47" s="1567"/>
      <c r="G47" s="1567"/>
      <c r="H47" s="1567"/>
      <c r="I47" s="1567"/>
      <c r="J47" s="1567"/>
      <c r="K47" s="1567"/>
      <c r="L47" s="1567"/>
      <c r="M47" s="1567"/>
      <c r="N47" s="1431"/>
      <c r="O47" s="1349"/>
    </row>
    <row r="48" spans="1:15" ht="16.2" thickTop="1" thickBot="1" x14ac:dyDescent="0.3">
      <c r="A48" s="1568" t="s">
        <v>4</v>
      </c>
      <c r="B48" s="1569"/>
      <c r="C48" s="1569"/>
      <c r="D48" s="1998" t="s">
        <v>489</v>
      </c>
      <c r="E48" s="1999"/>
      <c r="F48" s="2000"/>
      <c r="G48" s="1570"/>
      <c r="H48" s="1571" t="s">
        <v>490</v>
      </c>
      <c r="I48" s="1570"/>
      <c r="J48" s="1572"/>
      <c r="K48" s="1573"/>
      <c r="L48" s="1998" t="s">
        <v>55</v>
      </c>
      <c r="M48" s="2001"/>
      <c r="N48" s="2002"/>
      <c r="O48" s="1574" t="s">
        <v>7</v>
      </c>
    </row>
    <row r="49" spans="1:15" x14ac:dyDescent="0.25">
      <c r="A49" s="1575"/>
      <c r="B49" s="1576"/>
      <c r="C49" s="1576"/>
      <c r="D49" s="1577" t="s">
        <v>297</v>
      </c>
      <c r="E49" s="1576"/>
      <c r="F49" s="1578"/>
      <c r="G49" s="1579"/>
      <c r="H49" s="1580"/>
      <c r="I49" s="1580"/>
      <c r="J49" s="1580"/>
      <c r="K49" s="1581"/>
      <c r="L49" s="1579"/>
      <c r="M49" s="1582"/>
      <c r="N49" s="1583"/>
      <c r="O49" s="1584">
        <v>0</v>
      </c>
    </row>
    <row r="50" spans="1:15" ht="15.6" thickBot="1" x14ac:dyDescent="0.3">
      <c r="A50" s="1585"/>
      <c r="B50" s="1586"/>
      <c r="C50" s="1567"/>
      <c r="D50" s="1587"/>
      <c r="E50" s="1567"/>
      <c r="F50" s="1588"/>
      <c r="G50" s="1587"/>
      <c r="H50" s="1567"/>
      <c r="I50" s="1567"/>
      <c r="J50" s="1567"/>
      <c r="K50" s="1588"/>
      <c r="L50" s="1589"/>
      <c r="M50" s="1530"/>
      <c r="N50" s="1532"/>
      <c r="O50" s="1590"/>
    </row>
    <row r="51" spans="1:15" ht="15.6" thickTop="1" x14ac:dyDescent="0.25">
      <c r="A51" s="1346"/>
      <c r="B51" s="1347"/>
      <c r="C51" s="1347"/>
      <c r="D51" s="1347"/>
      <c r="E51" s="1347"/>
      <c r="F51" s="1347"/>
      <c r="G51" s="1347"/>
      <c r="H51" s="1347"/>
      <c r="I51" s="1347"/>
      <c r="J51" s="1347"/>
      <c r="K51" s="1347"/>
      <c r="L51" s="1347"/>
      <c r="M51" s="1347"/>
      <c r="N51" s="1347"/>
      <c r="O51" s="1349"/>
    </row>
    <row r="52" spans="1:15" x14ac:dyDescent="0.25">
      <c r="A52" s="1591" t="s">
        <v>491</v>
      </c>
      <c r="B52" s="1409"/>
      <c r="C52" s="1409"/>
      <c r="D52" s="1409"/>
      <c r="E52" s="1409"/>
      <c r="F52" s="1409"/>
      <c r="G52" s="1409"/>
      <c r="H52" s="1409"/>
      <c r="I52" s="1409"/>
      <c r="J52" s="1409"/>
      <c r="K52" s="1409"/>
      <c r="L52" s="1409"/>
      <c r="M52" s="1409"/>
      <c r="N52" s="1409"/>
      <c r="O52" s="1592"/>
    </row>
    <row r="53" spans="1:15" x14ac:dyDescent="0.25">
      <c r="A53" s="1443" t="s">
        <v>4</v>
      </c>
      <c r="B53" s="1487"/>
      <c r="C53" s="1391"/>
      <c r="D53" s="1411"/>
      <c r="E53" s="1489" t="s">
        <v>492</v>
      </c>
      <c r="F53" s="1409"/>
      <c r="G53" s="1409"/>
      <c r="H53" s="1409"/>
      <c r="I53" s="1409"/>
      <c r="J53" s="1411"/>
      <c r="K53" s="1489" t="s">
        <v>55</v>
      </c>
      <c r="L53" s="1409"/>
      <c r="M53" s="1409"/>
      <c r="N53" s="1593" t="s">
        <v>6</v>
      </c>
      <c r="O53" s="1506" t="s">
        <v>7</v>
      </c>
    </row>
    <row r="54" spans="1:15" x14ac:dyDescent="0.25">
      <c r="A54" s="1346"/>
      <c r="B54" s="1348"/>
      <c r="C54" s="1348"/>
      <c r="D54" s="1384"/>
      <c r="E54" s="1348"/>
      <c r="F54" s="1348"/>
      <c r="G54" s="1594"/>
      <c r="H54" s="1348"/>
      <c r="I54" s="1348"/>
      <c r="J54" s="1384"/>
      <c r="K54" s="1348"/>
      <c r="L54" s="1348"/>
      <c r="M54" s="1348"/>
      <c r="N54" s="1559"/>
      <c r="O54" s="1595"/>
    </row>
    <row r="55" spans="1:15" x14ac:dyDescent="0.25">
      <c r="A55" s="1596"/>
      <c r="B55" s="1391"/>
      <c r="C55" s="1391"/>
      <c r="D55" s="1390"/>
      <c r="E55" s="1444"/>
      <c r="F55" s="1444"/>
      <c r="G55" s="1444"/>
      <c r="H55" s="1444"/>
      <c r="I55" s="1444"/>
      <c r="J55" s="1394"/>
      <c r="K55" s="1444"/>
      <c r="L55" s="1409"/>
      <c r="M55" s="1409"/>
      <c r="N55" s="1453">
        <v>4</v>
      </c>
      <c r="O55" s="1597">
        <v>0</v>
      </c>
    </row>
    <row r="56" spans="1:15" x14ac:dyDescent="0.25">
      <c r="A56" s="1598" t="s">
        <v>493</v>
      </c>
      <c r="B56" s="1599"/>
      <c r="C56" s="1409"/>
      <c r="D56" s="1384"/>
      <c r="E56" s="1600"/>
      <c r="F56" s="1600"/>
      <c r="G56" s="1383"/>
      <c r="H56" s="1383"/>
      <c r="I56" s="1383"/>
      <c r="J56" s="1372"/>
      <c r="K56" s="1383"/>
      <c r="L56" s="1383"/>
      <c r="M56" s="1539"/>
      <c r="N56" s="1548"/>
      <c r="O56" s="1543" t="s">
        <v>494</v>
      </c>
    </row>
    <row r="57" spans="1:15" x14ac:dyDescent="0.25">
      <c r="A57" s="1407" t="s">
        <v>495</v>
      </c>
      <c r="B57" s="1445" t="s">
        <v>427</v>
      </c>
      <c r="C57" s="1391"/>
      <c r="D57" s="1445" t="s">
        <v>439</v>
      </c>
      <c r="E57" s="1391"/>
      <c r="F57" s="1391"/>
      <c r="G57" s="1391"/>
      <c r="H57" s="1391"/>
      <c r="I57" s="1391"/>
      <c r="J57" s="1488" t="s">
        <v>496</v>
      </c>
      <c r="K57" s="1601"/>
      <c r="L57" s="1601"/>
      <c r="M57" s="1601"/>
      <c r="N57" s="1453" t="s">
        <v>6</v>
      </c>
      <c r="O57" s="1506" t="s">
        <v>497</v>
      </c>
    </row>
    <row r="58" spans="1:15" x14ac:dyDescent="0.25">
      <c r="A58" s="1500"/>
      <c r="B58" s="1602"/>
      <c r="C58" s="1603"/>
      <c r="D58" s="1551"/>
      <c r="E58" s="1363"/>
      <c r="F58" s="1363"/>
      <c r="G58" s="1363"/>
      <c r="H58" s="1363"/>
      <c r="I58" s="1363"/>
      <c r="J58" s="1551"/>
      <c r="K58" s="1363"/>
      <c r="L58" s="1363"/>
      <c r="M58" s="1363"/>
      <c r="N58" s="1604" t="s">
        <v>498</v>
      </c>
      <c r="O58" s="1605">
        <v>0</v>
      </c>
    </row>
    <row r="59" spans="1:15" x14ac:dyDescent="0.25">
      <c r="A59" s="1606"/>
      <c r="B59" s="1392"/>
      <c r="C59" s="1391"/>
      <c r="D59" s="1607" t="s">
        <v>499</v>
      </c>
      <c r="E59" s="1608" t="s">
        <v>500</v>
      </c>
      <c r="F59" s="1444"/>
      <c r="G59" s="1444"/>
      <c r="H59" s="1444"/>
      <c r="I59" s="1444"/>
      <c r="J59" s="1390" t="s">
        <v>501</v>
      </c>
      <c r="K59" s="1444"/>
      <c r="L59" s="1444"/>
      <c r="M59" s="1444"/>
      <c r="N59" s="1395" t="s">
        <v>643</v>
      </c>
      <c r="O59" s="1609">
        <v>0</v>
      </c>
    </row>
    <row r="60" spans="1:15" x14ac:dyDescent="0.25">
      <c r="A60" s="1610"/>
      <c r="B60" s="1611"/>
      <c r="C60" s="1612"/>
      <c r="D60" s="1612"/>
      <c r="E60" s="1612"/>
      <c r="F60" s="1612"/>
      <c r="G60" s="1612"/>
      <c r="H60" s="1612"/>
      <c r="I60" s="1612"/>
      <c r="J60" s="1613" t="s">
        <v>503</v>
      </c>
      <c r="K60" s="1368"/>
      <c r="L60" s="1368"/>
      <c r="M60" s="1368"/>
      <c r="N60" s="1593" t="s">
        <v>502</v>
      </c>
      <c r="O60" s="1614">
        <f>O59</f>
        <v>0</v>
      </c>
    </row>
    <row r="61" spans="1:15" ht="15.6" thickBot="1" x14ac:dyDescent="0.3">
      <c r="A61" s="1527"/>
      <c r="B61" s="1528"/>
      <c r="C61" s="1528"/>
      <c r="D61" s="1528"/>
      <c r="E61" s="1528"/>
      <c r="F61" s="1528"/>
      <c r="G61" s="1528"/>
      <c r="H61" s="1528"/>
      <c r="I61" s="1615"/>
      <c r="J61" s="1616" t="s">
        <v>504</v>
      </c>
      <c r="K61" s="1431"/>
      <c r="L61" s="1431"/>
      <c r="M61" s="1431"/>
      <c r="N61" s="1431"/>
      <c r="O61" s="1617">
        <f>O58+O55+O45+O37+F37</f>
        <v>0</v>
      </c>
    </row>
    <row r="62" spans="1:15" ht="15.6" thickTop="1" x14ac:dyDescent="0.25">
      <c r="A62" s="1355"/>
      <c r="B62" s="1355"/>
      <c r="C62" s="1355"/>
      <c r="D62" s="1355"/>
      <c r="E62" s="1355"/>
      <c r="F62" s="1355"/>
      <c r="G62" s="1355"/>
      <c r="H62" s="1355"/>
      <c r="I62" s="1355"/>
      <c r="J62" s="1355"/>
      <c r="K62" s="1355"/>
      <c r="L62" s="1355"/>
      <c r="M62" s="1355"/>
      <c r="N62" s="1355"/>
      <c r="O62" s="1355"/>
    </row>
    <row r="63" spans="1:15" x14ac:dyDescent="0.25">
      <c r="A63" s="1618" t="s">
        <v>505</v>
      </c>
      <c r="B63" s="1983" t="s">
        <v>644</v>
      </c>
      <c r="C63" s="1984"/>
      <c r="D63" s="1984"/>
      <c r="E63" s="1984"/>
      <c r="F63" s="1984"/>
      <c r="G63" s="1984"/>
      <c r="H63" s="1984"/>
      <c r="I63" s="1984"/>
      <c r="J63" s="1984"/>
      <c r="K63" s="1984"/>
      <c r="L63" s="1984"/>
      <c r="M63" s="1984"/>
      <c r="N63" s="1984"/>
      <c r="O63" s="1984"/>
    </row>
    <row r="64" spans="1:15" x14ac:dyDescent="0.25">
      <c r="A64" s="1619"/>
      <c r="B64" s="1620"/>
      <c r="C64" s="1355"/>
      <c r="D64" s="1355"/>
      <c r="E64" s="1355"/>
      <c r="F64" s="1355"/>
      <c r="G64" s="1355"/>
      <c r="H64" s="1355"/>
      <c r="I64" s="1355"/>
      <c r="J64" s="1621"/>
      <c r="K64" s="1355"/>
      <c r="L64" s="1355"/>
      <c r="M64" s="1355"/>
      <c r="N64" s="1355"/>
      <c r="O64" s="1355"/>
    </row>
    <row r="65" spans="1:15" x14ac:dyDescent="0.25">
      <c r="A65" s="1619"/>
      <c r="B65" s="1983" t="s">
        <v>506</v>
      </c>
      <c r="C65" s="1984"/>
      <c r="D65" s="1984"/>
      <c r="E65" s="1984"/>
      <c r="F65" s="1984"/>
      <c r="G65" s="1984"/>
      <c r="H65" s="1984"/>
      <c r="I65" s="1984"/>
      <c r="J65" s="1984"/>
      <c r="K65" s="1984"/>
      <c r="L65" s="1984"/>
      <c r="M65" s="1984"/>
      <c r="N65" s="1984"/>
      <c r="O65" s="1984"/>
    </row>
  </sheetData>
  <sheetProtection algorithmName="SHA-512" hashValue="cgWr5lFYGGtTJ86u7q2cavSoQwYuAAijvWCUG3xCuxurs4zoG4PDMhxereefjzXlxBMh0Wl5/cs0enE2Ijr/pQ==" saltValue="rh2lEpPHftAYsDFwUFDuSA==" spinCount="100000" sheet="1" objects="1" scenarios="1"/>
  <mergeCells count="11">
    <mergeCell ref="B65:O65"/>
    <mergeCell ref="E5:F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O92"/>
  <sheetViews>
    <sheetView topLeftCell="C29" zoomScale="70" zoomScaleNormal="70" zoomScaleSheetLayoutView="75" workbookViewId="0">
      <selection activeCell="J3" sqref="J3"/>
    </sheetView>
  </sheetViews>
  <sheetFormatPr defaultRowHeight="15" x14ac:dyDescent="0.25"/>
  <cols>
    <col min="1" max="1" width="4.75" customWidth="1"/>
    <col min="2" max="2" width="12.58203125" customWidth="1"/>
    <col min="3" max="3" width="14.25" customWidth="1"/>
    <col min="4" max="4" width="10.9140625" customWidth="1"/>
    <col min="5" max="5" width="14.4140625" customWidth="1"/>
    <col min="6" max="6" width="15.33203125" customWidth="1"/>
    <col min="7" max="7" width="13" customWidth="1"/>
    <col min="8" max="8" width="8.6640625" customWidth="1"/>
    <col min="9" max="9" width="8.25" customWidth="1"/>
    <col min="10" max="10" width="9.08203125" customWidth="1"/>
    <col min="11" max="11" width="14.08203125" customWidth="1"/>
    <col min="12" max="12" width="7.75" customWidth="1"/>
    <col min="13" max="13" width="8.25" customWidth="1"/>
    <col min="14" max="14" width="8.33203125" customWidth="1"/>
    <col min="15" max="15" width="13.33203125" customWidth="1"/>
  </cols>
  <sheetData>
    <row r="1" spans="1:15" ht="18" thickTop="1" x14ac:dyDescent="0.25">
      <c r="A1" s="893" t="s">
        <v>524</v>
      </c>
      <c r="B1" s="894"/>
      <c r="C1" s="871"/>
      <c r="D1" s="871"/>
      <c r="E1" s="871"/>
      <c r="F1" s="895"/>
      <c r="G1" s="896" t="s">
        <v>525</v>
      </c>
      <c r="H1" s="871"/>
      <c r="I1" s="871"/>
      <c r="J1" s="871"/>
      <c r="K1" s="871"/>
      <c r="L1" s="897"/>
      <c r="M1" s="897"/>
      <c r="N1" s="897"/>
      <c r="O1" s="898"/>
    </row>
    <row r="2" spans="1:15" ht="15.6" x14ac:dyDescent="0.25">
      <c r="A2" s="899" t="s">
        <v>158</v>
      </c>
      <c r="B2" s="900"/>
      <c r="C2" s="60"/>
      <c r="D2" s="60"/>
      <c r="E2" s="60"/>
      <c r="F2" s="901" t="s">
        <v>159</v>
      </c>
      <c r="G2" s="901"/>
      <c r="H2" s="60"/>
      <c r="I2" s="60"/>
      <c r="J2" s="60"/>
      <c r="K2" s="60"/>
      <c r="L2" s="600"/>
      <c r="M2" s="600"/>
      <c r="N2" s="600"/>
      <c r="O2" s="601"/>
    </row>
    <row r="3" spans="1:15" ht="16.2" thickBot="1" x14ac:dyDescent="0.3">
      <c r="A3" s="2003" t="s">
        <v>520</v>
      </c>
      <c r="B3" s="2004"/>
      <c r="C3" s="2004"/>
      <c r="D3" s="1077">
        <f>'Input Data'!D29</f>
        <v>0</v>
      </c>
      <c r="E3" s="902"/>
      <c r="F3" s="134"/>
      <c r="G3" s="134"/>
      <c r="H3" s="2005" t="s">
        <v>211</v>
      </c>
      <c r="I3" s="2006"/>
      <c r="J3" s="770">
        <f>'Input Data'!D6</f>
        <v>0</v>
      </c>
      <c r="K3" s="132"/>
      <c r="L3" s="903"/>
      <c r="M3" s="903"/>
      <c r="N3" s="903"/>
      <c r="O3" s="904"/>
    </row>
    <row r="4" spans="1:15" ht="16.2" thickTop="1" x14ac:dyDescent="0.25">
      <c r="A4" s="905" t="s">
        <v>526</v>
      </c>
      <c r="B4" s="862"/>
      <c r="C4" s="130"/>
      <c r="D4" s="130"/>
      <c r="E4" s="130"/>
      <c r="F4" s="130"/>
      <c r="G4" s="130"/>
      <c r="H4" s="130"/>
      <c r="I4" s="130"/>
      <c r="J4" s="906"/>
      <c r="K4" s="907"/>
      <c r="L4" s="600"/>
      <c r="M4" s="600"/>
      <c r="N4" s="600"/>
      <c r="O4" s="601"/>
    </row>
    <row r="5" spans="1:15" ht="15.6" x14ac:dyDescent="0.25">
      <c r="A5" s="908" t="s">
        <v>527</v>
      </c>
      <c r="B5" s="909"/>
      <c r="C5" s="60"/>
      <c r="D5" s="60"/>
      <c r="E5" s="60"/>
      <c r="F5" s="60"/>
      <c r="G5" s="60"/>
      <c r="H5" s="60"/>
      <c r="I5" s="60"/>
      <c r="J5" s="777"/>
      <c r="K5" s="769"/>
      <c r="L5" s="910"/>
      <c r="M5" s="910"/>
      <c r="N5" s="910"/>
      <c r="O5" s="911"/>
    </row>
    <row r="6" spans="1:15" ht="27.6" x14ac:dyDescent="0.25">
      <c r="A6" s="656" t="s">
        <v>528</v>
      </c>
      <c r="B6" s="657" t="s">
        <v>4</v>
      </c>
      <c r="C6" s="658" t="s">
        <v>40</v>
      </c>
      <c r="D6" s="2007" t="s">
        <v>25</v>
      </c>
      <c r="E6" s="2008"/>
      <c r="F6" s="658" t="s">
        <v>45</v>
      </c>
      <c r="G6" s="658" t="s">
        <v>46</v>
      </c>
      <c r="H6" s="658" t="s">
        <v>51</v>
      </c>
      <c r="I6" s="2009" t="s">
        <v>42</v>
      </c>
      <c r="J6" s="2010"/>
      <c r="K6" s="2010"/>
      <c r="L6" s="658" t="s">
        <v>47</v>
      </c>
      <c r="M6" s="658" t="s">
        <v>529</v>
      </c>
      <c r="N6" s="658" t="s">
        <v>313</v>
      </c>
      <c r="O6" s="912" t="s">
        <v>43</v>
      </c>
    </row>
    <row r="7" spans="1:15" x14ac:dyDescent="0.25">
      <c r="A7" s="913">
        <v>1</v>
      </c>
      <c r="B7" s="914"/>
      <c r="C7" s="145"/>
      <c r="D7" s="146"/>
      <c r="E7" s="147"/>
      <c r="F7" s="145"/>
      <c r="G7" s="145"/>
      <c r="H7" s="145"/>
      <c r="I7" s="146"/>
      <c r="J7" s="160"/>
      <c r="K7" s="147"/>
      <c r="L7" s="145"/>
      <c r="M7" s="1222">
        <f>IF('Input Data'!$H$47&lt;'Input Data'!$H$39,L7,L7-2)</f>
        <v>-2</v>
      </c>
      <c r="N7" s="649"/>
      <c r="O7" s="915">
        <f t="shared" ref="O7:O16" si="0">M7*N7</f>
        <v>0</v>
      </c>
    </row>
    <row r="8" spans="1:15" x14ac:dyDescent="0.25">
      <c r="A8" s="916"/>
      <c r="B8" s="917"/>
      <c r="C8" s="149"/>
      <c r="D8" s="150"/>
      <c r="E8" s="151"/>
      <c r="F8" s="149"/>
      <c r="G8" s="149"/>
      <c r="H8" s="149"/>
      <c r="I8" s="150"/>
      <c r="J8" s="161"/>
      <c r="K8" s="151"/>
      <c r="L8" s="149"/>
      <c r="M8" s="1222">
        <f>IF('Input Data'!$H$47&lt;'Input Data'!$H$39,L8,L8-2)</f>
        <v>-2</v>
      </c>
      <c r="N8" s="650"/>
      <c r="O8" s="918">
        <f t="shared" si="0"/>
        <v>0</v>
      </c>
    </row>
    <row r="9" spans="1:15" x14ac:dyDescent="0.25">
      <c r="A9" s="916"/>
      <c r="B9" s="917"/>
      <c r="C9" s="149"/>
      <c r="D9" s="150"/>
      <c r="E9" s="151"/>
      <c r="F9" s="149"/>
      <c r="G9" s="149"/>
      <c r="H9" s="149"/>
      <c r="I9" s="150"/>
      <c r="J9" s="161"/>
      <c r="K9" s="151"/>
      <c r="L9" s="149"/>
      <c r="M9" s="1222">
        <f>IF('Input Data'!$H$47&lt;'Input Data'!$H$39,L9,L9-2)</f>
        <v>-2</v>
      </c>
      <c r="N9" s="650"/>
      <c r="O9" s="918">
        <f t="shared" si="0"/>
        <v>0</v>
      </c>
    </row>
    <row r="10" spans="1:15" x14ac:dyDescent="0.25">
      <c r="A10" s="916"/>
      <c r="B10" s="917"/>
      <c r="C10" s="149"/>
      <c r="D10" s="150"/>
      <c r="E10" s="151"/>
      <c r="F10" s="149"/>
      <c r="G10" s="149"/>
      <c r="H10" s="149"/>
      <c r="I10" s="150"/>
      <c r="J10" s="161"/>
      <c r="K10" s="151"/>
      <c r="L10" s="149"/>
      <c r="M10" s="1222">
        <f>IF('Input Data'!$H$47&lt;'Input Data'!$H$39,L10,L10-2)</f>
        <v>-2</v>
      </c>
      <c r="N10" s="650"/>
      <c r="O10" s="918">
        <f t="shared" si="0"/>
        <v>0</v>
      </c>
    </row>
    <row r="11" spans="1:15" x14ac:dyDescent="0.25">
      <c r="A11" s="916"/>
      <c r="B11" s="917"/>
      <c r="C11" s="149"/>
      <c r="D11" s="150"/>
      <c r="E11" s="151"/>
      <c r="F11" s="149"/>
      <c r="G11" s="149"/>
      <c r="H11" s="149"/>
      <c r="I11" s="150"/>
      <c r="J11" s="161"/>
      <c r="K11" s="151"/>
      <c r="L11" s="149"/>
      <c r="M11" s="1222">
        <f>IF('Input Data'!$H$47&lt;'Input Data'!$H$39,L11,L11-2)</f>
        <v>-2</v>
      </c>
      <c r="N11" s="650"/>
      <c r="O11" s="918">
        <f t="shared" si="0"/>
        <v>0</v>
      </c>
    </row>
    <row r="12" spans="1:15" x14ac:dyDescent="0.25">
      <c r="A12" s="916"/>
      <c r="B12" s="917"/>
      <c r="C12" s="149"/>
      <c r="D12" s="150"/>
      <c r="E12" s="151"/>
      <c r="F12" s="149"/>
      <c r="G12" s="149"/>
      <c r="H12" s="149"/>
      <c r="I12" s="150"/>
      <c r="J12" s="161"/>
      <c r="K12" s="151"/>
      <c r="L12" s="149"/>
      <c r="M12" s="1222">
        <f>IF('Input Data'!$H$47&lt;'Input Data'!$H$39,L12,L12-2)</f>
        <v>-2</v>
      </c>
      <c r="N12" s="650"/>
      <c r="O12" s="918">
        <f t="shared" si="0"/>
        <v>0</v>
      </c>
    </row>
    <row r="13" spans="1:15" x14ac:dyDescent="0.25">
      <c r="A13" s="916"/>
      <c r="B13" s="917"/>
      <c r="C13" s="149"/>
      <c r="D13" s="150"/>
      <c r="E13" s="151"/>
      <c r="F13" s="149"/>
      <c r="G13" s="149"/>
      <c r="H13" s="149"/>
      <c r="I13" s="150"/>
      <c r="J13" s="161"/>
      <c r="K13" s="151"/>
      <c r="L13" s="149"/>
      <c r="M13" s="1222">
        <f>IF('Input Data'!$H$47&lt;'Input Data'!$H$39,L13,L13-2)</f>
        <v>-2</v>
      </c>
      <c r="N13" s="650"/>
      <c r="O13" s="918">
        <f t="shared" si="0"/>
        <v>0</v>
      </c>
    </row>
    <row r="14" spans="1:15" x14ac:dyDescent="0.25">
      <c r="A14" s="916"/>
      <c r="B14" s="917"/>
      <c r="C14" s="149"/>
      <c r="D14" s="150"/>
      <c r="E14" s="151"/>
      <c r="F14" s="149"/>
      <c r="G14" s="149"/>
      <c r="H14" s="149"/>
      <c r="I14" s="150"/>
      <c r="J14" s="161"/>
      <c r="K14" s="151"/>
      <c r="L14" s="149"/>
      <c r="M14" s="1222">
        <f>IF('Input Data'!$H$47&lt;'Input Data'!$H$39,L14,L14-2)</f>
        <v>-2</v>
      </c>
      <c r="N14" s="650"/>
      <c r="O14" s="918">
        <f t="shared" si="0"/>
        <v>0</v>
      </c>
    </row>
    <row r="15" spans="1:15" x14ac:dyDescent="0.25">
      <c r="A15" s="916"/>
      <c r="B15" s="917"/>
      <c r="C15" s="149"/>
      <c r="D15" s="150"/>
      <c r="E15" s="151"/>
      <c r="F15" s="149"/>
      <c r="G15" s="149"/>
      <c r="H15" s="149"/>
      <c r="I15" s="150"/>
      <c r="J15" s="161"/>
      <c r="K15" s="151"/>
      <c r="L15" s="149"/>
      <c r="M15" s="1222">
        <f>IF('Input Data'!$H$47&lt;'Input Data'!$H$39,L15,L15-2)</f>
        <v>-2</v>
      </c>
      <c r="N15" s="650"/>
      <c r="O15" s="918">
        <f t="shared" si="0"/>
        <v>0</v>
      </c>
    </row>
    <row r="16" spans="1:15" ht="15.6" thickBot="1" x14ac:dyDescent="0.3">
      <c r="A16" s="919"/>
      <c r="B16" s="920"/>
      <c r="C16" s="153"/>
      <c r="D16" s="154"/>
      <c r="E16" s="155"/>
      <c r="F16" s="153"/>
      <c r="G16" s="153"/>
      <c r="H16" s="153"/>
      <c r="I16" s="154"/>
      <c r="J16" s="162"/>
      <c r="K16" s="155"/>
      <c r="L16" s="153"/>
      <c r="M16" s="1222">
        <f>IF('Input Data'!$H$47&lt;'Input Data'!$H$39,L16,L16-2)</f>
        <v>-2</v>
      </c>
      <c r="N16" s="651"/>
      <c r="O16" s="921">
        <f t="shared" si="0"/>
        <v>0</v>
      </c>
    </row>
    <row r="17" spans="1:15" ht="15.6" thickBot="1" x14ac:dyDescent="0.3">
      <c r="A17" s="922"/>
      <c r="B17" s="923"/>
      <c r="C17" s="923"/>
      <c r="D17" s="923"/>
      <c r="E17" s="923"/>
      <c r="F17" s="923"/>
      <c r="G17" s="923"/>
      <c r="H17" s="924"/>
      <c r="I17" s="924"/>
      <c r="J17" s="924"/>
      <c r="K17" s="924"/>
      <c r="L17" s="923"/>
      <c r="M17" s="923"/>
      <c r="N17" s="925" t="s">
        <v>530</v>
      </c>
      <c r="O17" s="926">
        <f>SUM(O7:O16)</f>
        <v>0</v>
      </c>
    </row>
    <row r="18" spans="1:15" ht="16.2" thickTop="1" thickBot="1" x14ac:dyDescent="0.3">
      <c r="A18" s="927"/>
      <c r="B18" s="172"/>
      <c r="C18" s="172"/>
      <c r="D18" s="172"/>
      <c r="E18" s="172"/>
      <c r="F18" s="172"/>
      <c r="G18" s="172"/>
      <c r="L18" s="172"/>
      <c r="M18" s="172"/>
      <c r="N18" s="880" t="s">
        <v>522</v>
      </c>
      <c r="O18" s="928"/>
    </row>
    <row r="19" spans="1:15" ht="15.6" thickBot="1" x14ac:dyDescent="0.3">
      <c r="A19" s="929" t="s">
        <v>531</v>
      </c>
      <c r="B19" s="132"/>
      <c r="C19" s="132"/>
      <c r="D19" s="132"/>
      <c r="E19" s="132"/>
      <c r="F19" s="132"/>
      <c r="G19" s="132"/>
      <c r="H19" s="132"/>
      <c r="I19" s="132"/>
      <c r="J19" s="930"/>
      <c r="K19" s="931"/>
    </row>
    <row r="20" spans="1:15" ht="15.6" thickTop="1" x14ac:dyDescent="0.25">
      <c r="A20" s="932"/>
      <c r="B20" s="2011" t="s">
        <v>532</v>
      </c>
      <c r="C20" s="2012"/>
      <c r="D20" s="2012"/>
      <c r="E20" s="2012"/>
      <c r="F20" s="2012"/>
      <c r="G20" s="2011" t="s">
        <v>533</v>
      </c>
      <c r="H20" s="2011"/>
      <c r="I20" s="2011"/>
      <c r="J20" s="2011"/>
      <c r="K20" s="2011"/>
      <c r="L20" s="2024" t="s">
        <v>534</v>
      </c>
      <c r="M20" s="933"/>
      <c r="N20" s="933"/>
      <c r="O20" s="934"/>
    </row>
    <row r="21" spans="1:15" x14ac:dyDescent="0.25">
      <c r="A21" s="2013" t="s">
        <v>535</v>
      </c>
      <c r="B21" s="935"/>
      <c r="C21" s="935"/>
      <c r="D21" s="1966" t="s">
        <v>536</v>
      </c>
      <c r="E21" s="1966" t="s">
        <v>537</v>
      </c>
      <c r="F21" s="1966" t="s">
        <v>538</v>
      </c>
      <c r="G21" s="1966" t="s">
        <v>539</v>
      </c>
      <c r="H21" s="1966" t="s">
        <v>410</v>
      </c>
      <c r="I21" s="1966" t="s">
        <v>536</v>
      </c>
      <c r="J21" s="1966" t="s">
        <v>537</v>
      </c>
      <c r="K21" s="1966" t="s">
        <v>538</v>
      </c>
      <c r="L21" s="2025"/>
      <c r="M21" s="2031" t="s">
        <v>529</v>
      </c>
      <c r="N21" s="2031" t="s">
        <v>313</v>
      </c>
      <c r="O21" s="2017" t="s">
        <v>43</v>
      </c>
    </row>
    <row r="22" spans="1:15" ht="27" customHeight="1" x14ac:dyDescent="0.25">
      <c r="A22" s="2014"/>
      <c r="B22" s="936" t="s">
        <v>539</v>
      </c>
      <c r="C22" s="936" t="s">
        <v>410</v>
      </c>
      <c r="D22" s="2015"/>
      <c r="E22" s="2015"/>
      <c r="F22" s="2015"/>
      <c r="G22" s="2016"/>
      <c r="H22" s="2016"/>
      <c r="I22" s="2015"/>
      <c r="J22" s="2015"/>
      <c r="K22" s="2015"/>
      <c r="L22" s="2026"/>
      <c r="M22" s="2026"/>
      <c r="N22" s="2026"/>
      <c r="O22" s="2018"/>
    </row>
    <row r="23" spans="1:15" x14ac:dyDescent="0.25">
      <c r="A23" s="937">
        <v>1</v>
      </c>
      <c r="B23" s="938">
        <v>41188.25</v>
      </c>
      <c r="C23" s="939" t="s">
        <v>540</v>
      </c>
      <c r="D23" s="940" t="s">
        <v>541</v>
      </c>
      <c r="E23" s="940" t="s">
        <v>542</v>
      </c>
      <c r="F23" s="941">
        <v>41188.489583333336</v>
      </c>
      <c r="G23" s="938">
        <v>41189.666666666664</v>
      </c>
      <c r="H23" s="939" t="s">
        <v>542</v>
      </c>
      <c r="I23" s="940" t="s">
        <v>543</v>
      </c>
      <c r="J23" s="942" t="s">
        <v>540</v>
      </c>
      <c r="K23" s="941">
        <v>41189.885416666664</v>
      </c>
      <c r="L23" s="1038">
        <f>((F23-B23)*24)+((K23-G23)*24)</f>
        <v>11.000000000058208</v>
      </c>
      <c r="M23" s="1223">
        <f>IF('Input Data'!$H$47&lt;'Input Data'!$H$39,L23,L23-2)</f>
        <v>9.0000000000582077</v>
      </c>
      <c r="N23" s="943"/>
      <c r="O23" s="944">
        <f t="shared" ref="O23:O32" si="1">M23*N23</f>
        <v>0</v>
      </c>
    </row>
    <row r="24" spans="1:15" x14ac:dyDescent="0.25">
      <c r="A24" s="945"/>
      <c r="B24" s="946"/>
      <c r="C24" s="947"/>
      <c r="D24" s="948"/>
      <c r="E24" s="949"/>
      <c r="F24" s="950"/>
      <c r="G24" s="946"/>
      <c r="H24" s="951"/>
      <c r="I24" s="949"/>
      <c r="J24" s="951"/>
      <c r="K24" s="950"/>
      <c r="L24" s="1039">
        <f t="shared" ref="L24:L32" si="2">((F24-B24)*24)+((K24-G24)*24)</f>
        <v>0</v>
      </c>
      <c r="M24" s="1224">
        <f>IF('Input Data'!$H$47&lt;'Input Data'!$H$39,L24,L24-2)</f>
        <v>-2</v>
      </c>
      <c r="N24" s="952"/>
      <c r="O24" s="953">
        <f t="shared" si="1"/>
        <v>0</v>
      </c>
    </row>
    <row r="25" spans="1:15" x14ac:dyDescent="0.25">
      <c r="A25" s="945"/>
      <c r="B25" s="946"/>
      <c r="C25" s="949"/>
      <c r="D25" s="947"/>
      <c r="E25" s="948"/>
      <c r="F25" s="950"/>
      <c r="G25" s="946"/>
      <c r="H25" s="949"/>
      <c r="I25" s="949"/>
      <c r="J25" s="948"/>
      <c r="K25" s="950"/>
      <c r="L25" s="1039">
        <f t="shared" si="2"/>
        <v>0</v>
      </c>
      <c r="M25" s="1224">
        <f>IF('Input Data'!$H$47&lt;'Input Data'!$H$39,L25,L25-2)</f>
        <v>-2</v>
      </c>
      <c r="N25" s="952"/>
      <c r="O25" s="953">
        <f t="shared" si="1"/>
        <v>0</v>
      </c>
    </row>
    <row r="26" spans="1:15" x14ac:dyDescent="0.25">
      <c r="A26" s="945"/>
      <c r="B26" s="946"/>
      <c r="C26" s="949"/>
      <c r="D26" s="947"/>
      <c r="E26" s="948"/>
      <c r="F26" s="950"/>
      <c r="G26" s="946"/>
      <c r="H26" s="949"/>
      <c r="I26" s="949"/>
      <c r="J26" s="948"/>
      <c r="K26" s="950"/>
      <c r="L26" s="1039">
        <f t="shared" si="2"/>
        <v>0</v>
      </c>
      <c r="M26" s="1224">
        <f>IF('Input Data'!$H$47&lt;'Input Data'!$H$39,L26,L26-2)</f>
        <v>-2</v>
      </c>
      <c r="N26" s="952"/>
      <c r="O26" s="953">
        <f t="shared" si="1"/>
        <v>0</v>
      </c>
    </row>
    <row r="27" spans="1:15" x14ac:dyDescent="0.25">
      <c r="A27" s="945"/>
      <c r="B27" s="946"/>
      <c r="C27" s="949"/>
      <c r="D27" s="947"/>
      <c r="E27" s="948"/>
      <c r="F27" s="950"/>
      <c r="G27" s="946"/>
      <c r="H27" s="949"/>
      <c r="I27" s="949"/>
      <c r="J27" s="948"/>
      <c r="K27" s="950"/>
      <c r="L27" s="1039">
        <f t="shared" si="2"/>
        <v>0</v>
      </c>
      <c r="M27" s="1224">
        <f>IF('Input Data'!$H$47&lt;'Input Data'!$H$39,L27,L27-2)</f>
        <v>-2</v>
      </c>
      <c r="N27" s="952"/>
      <c r="O27" s="953">
        <f t="shared" si="1"/>
        <v>0</v>
      </c>
    </row>
    <row r="28" spans="1:15" x14ac:dyDescent="0.25">
      <c r="A28" s="945"/>
      <c r="B28" s="946"/>
      <c r="C28" s="949"/>
      <c r="D28" s="947"/>
      <c r="E28" s="948"/>
      <c r="F28" s="950"/>
      <c r="G28" s="946"/>
      <c r="H28" s="949"/>
      <c r="I28" s="949"/>
      <c r="J28" s="948"/>
      <c r="K28" s="950"/>
      <c r="L28" s="1039">
        <f t="shared" si="2"/>
        <v>0</v>
      </c>
      <c r="M28" s="1224">
        <f>IF('Input Data'!$H$47&lt;'Input Data'!$H$39,L28,L28-2)</f>
        <v>-2</v>
      </c>
      <c r="N28" s="952"/>
      <c r="O28" s="953">
        <f t="shared" si="1"/>
        <v>0</v>
      </c>
    </row>
    <row r="29" spans="1:15" x14ac:dyDescent="0.25">
      <c r="A29" s="945"/>
      <c r="B29" s="946"/>
      <c r="C29" s="949"/>
      <c r="D29" s="947"/>
      <c r="E29" s="948"/>
      <c r="F29" s="950"/>
      <c r="G29" s="946"/>
      <c r="H29" s="954"/>
      <c r="I29" s="955"/>
      <c r="J29" s="948"/>
      <c r="K29" s="950"/>
      <c r="L29" s="1039">
        <f t="shared" si="2"/>
        <v>0</v>
      </c>
      <c r="M29" s="1224">
        <f>IF('Input Data'!$H$47&lt;'Input Data'!$H$39,L29,L29-2)</f>
        <v>-2</v>
      </c>
      <c r="N29" s="952"/>
      <c r="O29" s="953">
        <f t="shared" si="1"/>
        <v>0</v>
      </c>
    </row>
    <row r="30" spans="1:15" ht="15.75" customHeight="1" x14ac:dyDescent="0.25">
      <c r="A30" s="945"/>
      <c r="B30" s="946"/>
      <c r="C30" s="949"/>
      <c r="D30" s="947"/>
      <c r="E30" s="948"/>
      <c r="F30" s="950"/>
      <c r="G30" s="946"/>
      <c r="H30" s="956"/>
      <c r="I30" s="949"/>
      <c r="J30" s="954"/>
      <c r="K30" s="950"/>
      <c r="L30" s="1039">
        <f t="shared" si="2"/>
        <v>0</v>
      </c>
      <c r="M30" s="1224">
        <f>IF('Input Data'!$H$47&lt;'Input Data'!$H$39,L30,L30-2)</f>
        <v>-2</v>
      </c>
      <c r="N30" s="952"/>
      <c r="O30" s="953">
        <f t="shared" si="1"/>
        <v>0</v>
      </c>
    </row>
    <row r="31" spans="1:15" x14ac:dyDescent="0.25">
      <c r="A31" s="945"/>
      <c r="B31" s="946"/>
      <c r="C31" s="949"/>
      <c r="D31" s="947"/>
      <c r="E31" s="948"/>
      <c r="F31" s="950"/>
      <c r="G31" s="946"/>
      <c r="H31" s="956"/>
      <c r="I31" s="949"/>
      <c r="J31" s="954"/>
      <c r="K31" s="950"/>
      <c r="L31" s="1039">
        <f t="shared" si="2"/>
        <v>0</v>
      </c>
      <c r="M31" s="1224">
        <f>IF('Input Data'!$H$47&lt;'Input Data'!$H$39,L31,L31-2)</f>
        <v>-2</v>
      </c>
      <c r="N31" s="952"/>
      <c r="O31" s="953">
        <f t="shared" si="1"/>
        <v>0</v>
      </c>
    </row>
    <row r="32" spans="1:15" ht="15.6" thickBot="1" x14ac:dyDescent="0.3">
      <c r="A32" s="957"/>
      <c r="B32" s="958"/>
      <c r="C32" s="959"/>
      <c r="D32" s="959"/>
      <c r="E32" s="959"/>
      <c r="F32" s="960"/>
      <c r="G32" s="958"/>
      <c r="H32" s="959"/>
      <c r="I32" s="961"/>
      <c r="J32" s="959"/>
      <c r="K32" s="960"/>
      <c r="L32" s="1040">
        <f t="shared" si="2"/>
        <v>0</v>
      </c>
      <c r="M32" s="1224">
        <f>IF('Input Data'!$H$47&lt;'Input Data'!$H$39,L32,L32-2)</f>
        <v>-2</v>
      </c>
      <c r="N32" s="962"/>
      <c r="O32" s="963">
        <f t="shared" si="1"/>
        <v>0</v>
      </c>
    </row>
    <row r="33" spans="1:15" ht="15.6" thickBot="1" x14ac:dyDescent="0.3">
      <c r="A33" s="173"/>
      <c r="B33" s="171"/>
      <c r="C33" s="171"/>
      <c r="D33" s="171"/>
      <c r="E33" s="171"/>
      <c r="F33" s="171"/>
      <c r="G33" s="171"/>
      <c r="H33" s="171"/>
      <c r="I33" s="171"/>
      <c r="J33" s="903"/>
      <c r="K33" s="903"/>
      <c r="L33" s="903"/>
      <c r="M33" s="903"/>
      <c r="N33" s="964" t="s">
        <v>544</v>
      </c>
      <c r="O33" s="965">
        <f>SUM(O23:O32)</f>
        <v>0</v>
      </c>
    </row>
    <row r="34" spans="1:15" ht="16.2" thickTop="1" thickBot="1" x14ac:dyDescent="0.3">
      <c r="A34" s="927"/>
      <c r="B34" s="172"/>
      <c r="C34" s="172"/>
      <c r="D34" s="172"/>
      <c r="E34" s="172"/>
      <c r="F34" s="172"/>
      <c r="G34" s="172"/>
      <c r="H34" s="172"/>
      <c r="I34" s="172"/>
      <c r="L34" s="897"/>
      <c r="M34" s="897"/>
      <c r="N34" s="966" t="s">
        <v>522</v>
      </c>
      <c r="O34" s="967"/>
    </row>
    <row r="35" spans="1:15" ht="15.6" thickBot="1" x14ac:dyDescent="0.3">
      <c r="A35" s="163"/>
      <c r="B35" s="164"/>
      <c r="C35" s="164"/>
      <c r="D35" s="164"/>
      <c r="E35" s="164"/>
      <c r="F35" s="164"/>
      <c r="G35" s="164"/>
      <c r="H35" s="164"/>
      <c r="I35" s="164"/>
      <c r="L35" s="600"/>
      <c r="M35" s="600"/>
      <c r="N35" s="880" t="s">
        <v>545</v>
      </c>
      <c r="O35" s="968">
        <f>O17+O33</f>
        <v>0</v>
      </c>
    </row>
    <row r="36" spans="1:15" ht="16.2" thickTop="1" thickBot="1" x14ac:dyDescent="0.3">
      <c r="A36" s="163"/>
      <c r="B36" s="164"/>
      <c r="C36" s="164"/>
      <c r="D36" s="164"/>
      <c r="E36" s="164"/>
      <c r="F36" s="164"/>
      <c r="G36" s="164"/>
      <c r="H36" s="164"/>
      <c r="I36" s="164"/>
      <c r="L36" s="600"/>
      <c r="M36" s="600"/>
      <c r="N36" s="880" t="s">
        <v>546</v>
      </c>
      <c r="O36" s="969">
        <f>O18+O34</f>
        <v>0</v>
      </c>
    </row>
    <row r="37" spans="1:15" ht="30.75" customHeight="1" thickBot="1" x14ac:dyDescent="0.3">
      <c r="A37" s="157"/>
      <c r="B37" s="60"/>
      <c r="C37" s="60"/>
      <c r="D37" s="60"/>
      <c r="E37" s="60"/>
      <c r="F37" s="60"/>
      <c r="G37" s="60"/>
      <c r="H37" s="132"/>
      <c r="I37" s="132"/>
      <c r="J37" s="930"/>
      <c r="K37" s="931"/>
      <c r="L37" s="903"/>
      <c r="M37" s="903"/>
      <c r="N37" s="970" t="s">
        <v>547</v>
      </c>
      <c r="O37" s="971">
        <f>O35-O36</f>
        <v>0</v>
      </c>
    </row>
    <row r="38" spans="1:15" ht="15.6" thickTop="1" x14ac:dyDescent="0.25">
      <c r="A38" s="133" t="s">
        <v>548</v>
      </c>
      <c r="B38" s="894"/>
      <c r="C38" s="972"/>
      <c r="D38" s="972"/>
      <c r="E38" s="972"/>
      <c r="F38" s="130"/>
      <c r="G38" s="130"/>
      <c r="H38" s="897"/>
      <c r="I38" s="897"/>
      <c r="J38" s="897"/>
      <c r="K38" s="897"/>
      <c r="L38" s="130"/>
      <c r="M38" s="130"/>
      <c r="N38" s="973"/>
      <c r="O38" s="974"/>
    </row>
    <row r="39" spans="1:15" x14ac:dyDescent="0.25">
      <c r="A39" s="975"/>
      <c r="B39" s="164" t="s">
        <v>48</v>
      </c>
      <c r="C39" s="137" t="s">
        <v>49</v>
      </c>
      <c r="D39" s="137" t="s">
        <v>549</v>
      </c>
      <c r="E39" s="137"/>
      <c r="F39" s="60"/>
      <c r="G39" s="60"/>
      <c r="I39" s="60"/>
      <c r="J39" s="137" t="s">
        <v>50</v>
      </c>
      <c r="K39" s="976">
        <v>1600</v>
      </c>
      <c r="O39" s="977"/>
    </row>
    <row r="40" spans="1:15" x14ac:dyDescent="0.25">
      <c r="A40" s="978"/>
      <c r="B40" s="164" t="s">
        <v>36</v>
      </c>
      <c r="C40" s="137" t="s">
        <v>49</v>
      </c>
      <c r="D40" s="979"/>
      <c r="E40" s="979"/>
      <c r="F40" s="980"/>
      <c r="G40" s="60"/>
      <c r="I40" s="60"/>
      <c r="J40" s="137" t="s">
        <v>50</v>
      </c>
      <c r="K40" s="981"/>
      <c r="O40" s="982"/>
    </row>
    <row r="41" spans="1:15" x14ac:dyDescent="0.25">
      <c r="A41" s="983"/>
      <c r="B41" s="164" t="s">
        <v>38</v>
      </c>
      <c r="C41" s="137" t="s">
        <v>49</v>
      </c>
      <c r="D41" s="137"/>
      <c r="E41" s="137"/>
      <c r="F41" s="60"/>
      <c r="G41" s="60"/>
      <c r="I41" s="60"/>
      <c r="J41" s="137" t="s">
        <v>50</v>
      </c>
      <c r="K41" s="976"/>
      <c r="O41" s="977"/>
    </row>
    <row r="42" spans="1:15" ht="27.6" x14ac:dyDescent="0.25">
      <c r="A42" s="656" t="s">
        <v>528</v>
      </c>
      <c r="B42" s="657" t="s">
        <v>4</v>
      </c>
      <c r="C42" s="658" t="s">
        <v>40</v>
      </c>
      <c r="D42" s="658" t="s">
        <v>42</v>
      </c>
      <c r="E42" s="658" t="s">
        <v>51</v>
      </c>
      <c r="F42" s="2019" t="s">
        <v>550</v>
      </c>
      <c r="G42" s="2010"/>
      <c r="H42" s="2020" t="s">
        <v>551</v>
      </c>
      <c r="I42" s="2021"/>
      <c r="J42" s="2022"/>
      <c r="K42" s="658" t="s">
        <v>552</v>
      </c>
      <c r="L42" s="658" t="s">
        <v>553</v>
      </c>
      <c r="M42" s="658" t="s">
        <v>52</v>
      </c>
      <c r="N42" s="984" t="s">
        <v>554</v>
      </c>
      <c r="O42" s="652" t="s">
        <v>43</v>
      </c>
    </row>
    <row r="43" spans="1:15" x14ac:dyDescent="0.25">
      <c r="A43" s="985"/>
      <c r="B43" s="986"/>
      <c r="C43" s="987"/>
      <c r="D43" s="987"/>
      <c r="E43" s="987"/>
      <c r="F43" s="988"/>
      <c r="G43" s="990"/>
      <c r="H43" s="988"/>
      <c r="I43" s="989"/>
      <c r="J43" s="990"/>
      <c r="K43" s="1225"/>
      <c r="L43" s="1225"/>
      <c r="M43" s="992"/>
      <c r="N43" s="991"/>
      <c r="O43" s="993">
        <f>K43+L43+M43*N43</f>
        <v>0</v>
      </c>
    </row>
    <row r="44" spans="1:15" x14ac:dyDescent="0.25">
      <c r="A44" s="994"/>
      <c r="B44" s="995"/>
      <c r="C44" s="996"/>
      <c r="D44" s="996"/>
      <c r="E44" s="996"/>
      <c r="F44" s="997"/>
      <c r="G44" s="999"/>
      <c r="H44" s="997"/>
      <c r="I44" s="998"/>
      <c r="J44" s="999"/>
      <c r="K44" s="1226"/>
      <c r="L44" s="1226"/>
      <c r="M44" s="1001"/>
      <c r="N44" s="1000"/>
      <c r="O44" s="993">
        <f t="shared" ref="O44:O52" si="3">K44+L44+M44*N44</f>
        <v>0</v>
      </c>
    </row>
    <row r="45" spans="1:15" x14ac:dyDescent="0.25">
      <c r="A45" s="994"/>
      <c r="B45" s="995"/>
      <c r="C45" s="996"/>
      <c r="D45" s="996"/>
      <c r="E45" s="996"/>
      <c r="F45" s="997"/>
      <c r="G45" s="999"/>
      <c r="H45" s="997"/>
      <c r="I45" s="998"/>
      <c r="J45" s="999"/>
      <c r="K45" s="1226"/>
      <c r="L45" s="1226"/>
      <c r="M45" s="1001"/>
      <c r="N45" s="1000"/>
      <c r="O45" s="993">
        <f t="shared" si="3"/>
        <v>0</v>
      </c>
    </row>
    <row r="46" spans="1:15" x14ac:dyDescent="0.25">
      <c r="A46" s="994"/>
      <c r="B46" s="995"/>
      <c r="C46" s="996"/>
      <c r="D46" s="996"/>
      <c r="E46" s="996"/>
      <c r="F46" s="997"/>
      <c r="G46" s="999"/>
      <c r="H46" s="997"/>
      <c r="I46" s="998"/>
      <c r="J46" s="999"/>
      <c r="K46" s="1226"/>
      <c r="L46" s="1226"/>
      <c r="M46" s="1001"/>
      <c r="N46" s="1000"/>
      <c r="O46" s="993">
        <f t="shared" si="3"/>
        <v>0</v>
      </c>
    </row>
    <row r="47" spans="1:15" x14ac:dyDescent="0.25">
      <c r="A47" s="994"/>
      <c r="B47" s="995"/>
      <c r="C47" s="996"/>
      <c r="D47" s="996"/>
      <c r="E47" s="996"/>
      <c r="F47" s="997"/>
      <c r="G47" s="999"/>
      <c r="H47" s="997"/>
      <c r="I47" s="998"/>
      <c r="J47" s="999"/>
      <c r="K47" s="1226"/>
      <c r="L47" s="1226"/>
      <c r="M47" s="1001"/>
      <c r="N47" s="1000"/>
      <c r="O47" s="993">
        <f t="shared" si="3"/>
        <v>0</v>
      </c>
    </row>
    <row r="48" spans="1:15" x14ac:dyDescent="0.25">
      <c r="A48" s="994"/>
      <c r="B48" s="995"/>
      <c r="C48" s="996"/>
      <c r="D48" s="996"/>
      <c r="E48" s="996"/>
      <c r="F48" s="997"/>
      <c r="G48" s="999"/>
      <c r="H48" s="997"/>
      <c r="I48" s="998"/>
      <c r="J48" s="999"/>
      <c r="K48" s="1226"/>
      <c r="L48" s="1226"/>
      <c r="M48" s="1001"/>
      <c r="N48" s="1000"/>
      <c r="O48" s="993">
        <f t="shared" si="3"/>
        <v>0</v>
      </c>
    </row>
    <row r="49" spans="1:15" x14ac:dyDescent="0.25">
      <c r="A49" s="994"/>
      <c r="B49" s="995"/>
      <c r="C49" s="996"/>
      <c r="D49" s="996"/>
      <c r="E49" s="996"/>
      <c r="F49" s="997"/>
      <c r="G49" s="999"/>
      <c r="H49" s="997"/>
      <c r="I49" s="998"/>
      <c r="J49" s="999"/>
      <c r="K49" s="1226"/>
      <c r="L49" s="1226"/>
      <c r="M49" s="1001"/>
      <c r="N49" s="1000"/>
      <c r="O49" s="993">
        <f t="shared" si="3"/>
        <v>0</v>
      </c>
    </row>
    <row r="50" spans="1:15" x14ac:dyDescent="0.25">
      <c r="A50" s="994"/>
      <c r="B50" s="995"/>
      <c r="C50" s="996"/>
      <c r="D50" s="996"/>
      <c r="E50" s="996"/>
      <c r="F50" s="997"/>
      <c r="G50" s="999"/>
      <c r="H50" s="997"/>
      <c r="I50" s="998"/>
      <c r="J50" s="999"/>
      <c r="K50" s="1226"/>
      <c r="L50" s="1226"/>
      <c r="M50" s="1001"/>
      <c r="N50" s="1000"/>
      <c r="O50" s="993">
        <f t="shared" si="3"/>
        <v>0</v>
      </c>
    </row>
    <row r="51" spans="1:15" x14ac:dyDescent="0.25">
      <c r="A51" s="994"/>
      <c r="B51" s="995"/>
      <c r="C51" s="996"/>
      <c r="D51" s="996"/>
      <c r="E51" s="996"/>
      <c r="F51" s="997"/>
      <c r="G51" s="999"/>
      <c r="H51" s="997"/>
      <c r="I51" s="998"/>
      <c r="J51" s="999"/>
      <c r="K51" s="1226"/>
      <c r="L51" s="1226"/>
      <c r="M51" s="1001"/>
      <c r="N51" s="1000"/>
      <c r="O51" s="993">
        <f t="shared" si="3"/>
        <v>0</v>
      </c>
    </row>
    <row r="52" spans="1:15" x14ac:dyDescent="0.25">
      <c r="A52" s="1002"/>
      <c r="B52" s="1003"/>
      <c r="C52" s="1004"/>
      <c r="D52" s="1004"/>
      <c r="E52" s="1004"/>
      <c r="F52" s="1005"/>
      <c r="G52" s="1007"/>
      <c r="H52" s="1005"/>
      <c r="I52" s="1006"/>
      <c r="J52" s="1007"/>
      <c r="K52" s="1227"/>
      <c r="L52" s="1227"/>
      <c r="M52" s="1009"/>
      <c r="N52" s="1008"/>
      <c r="O52" s="993">
        <f t="shared" si="3"/>
        <v>0</v>
      </c>
    </row>
    <row r="53" spans="1:15" x14ac:dyDescent="0.25">
      <c r="A53" s="878"/>
      <c r="B53" s="879"/>
      <c r="C53" s="879"/>
      <c r="D53" s="879"/>
      <c r="E53" s="879"/>
      <c r="F53" s="879"/>
      <c r="G53" s="879"/>
      <c r="L53" s="879"/>
      <c r="M53" s="879"/>
      <c r="N53" s="884" t="s">
        <v>555</v>
      </c>
      <c r="O53" s="1010">
        <f>SUM(O43:O52)</f>
        <v>0</v>
      </c>
    </row>
    <row r="54" spans="1:15" ht="15.6" thickBot="1" x14ac:dyDescent="0.3">
      <c r="A54" s="163"/>
      <c r="B54" s="164"/>
      <c r="C54" s="164"/>
      <c r="D54" s="164"/>
      <c r="E54" s="164"/>
      <c r="F54" s="164"/>
      <c r="G54" s="164"/>
      <c r="L54" s="164"/>
      <c r="M54" s="164"/>
      <c r="N54" s="164" t="s">
        <v>522</v>
      </c>
      <c r="O54" s="1011"/>
    </row>
    <row r="55" spans="1:15" ht="16.2" thickTop="1" thickBot="1" x14ac:dyDescent="0.3">
      <c r="A55" s="173"/>
      <c r="B55" s="171"/>
      <c r="C55" s="171"/>
      <c r="D55" s="171"/>
      <c r="E55" s="171"/>
      <c r="F55" s="171"/>
      <c r="G55" s="171"/>
      <c r="H55" s="171"/>
      <c r="I55" s="171"/>
      <c r="J55" s="171"/>
      <c r="K55" s="1012"/>
      <c r="L55" s="903"/>
      <c r="M55" s="903"/>
      <c r="N55" s="903"/>
      <c r="O55" s="904"/>
    </row>
    <row r="56" spans="1:15" ht="15.6" thickTop="1" x14ac:dyDescent="0.25">
      <c r="A56" s="1013" t="s">
        <v>556</v>
      </c>
      <c r="B56" s="1014"/>
      <c r="C56" s="60"/>
      <c r="D56" s="60"/>
      <c r="E56" s="60"/>
      <c r="F56" s="60"/>
      <c r="G56" s="60"/>
      <c r="H56" s="60"/>
      <c r="I56" s="60"/>
      <c r="J56" s="60"/>
      <c r="K56" s="1015"/>
    </row>
    <row r="57" spans="1:15" ht="27.6" x14ac:dyDescent="0.25">
      <c r="A57" s="656" t="s">
        <v>528</v>
      </c>
      <c r="B57" s="657" t="s">
        <v>4</v>
      </c>
      <c r="C57" s="2007" t="s">
        <v>40</v>
      </c>
      <c r="D57" s="2008"/>
      <c r="E57" s="2007" t="s">
        <v>25</v>
      </c>
      <c r="F57" s="2008"/>
      <c r="G57" s="2019" t="s">
        <v>557</v>
      </c>
      <c r="H57" s="2023"/>
      <c r="I57" s="2019" t="s">
        <v>54</v>
      </c>
      <c r="J57" s="2023"/>
      <c r="K57" s="1016" t="s">
        <v>10</v>
      </c>
      <c r="L57" s="1016"/>
      <c r="M57" s="658" t="s">
        <v>53</v>
      </c>
      <c r="N57" s="658" t="s">
        <v>558</v>
      </c>
      <c r="O57" s="652" t="s">
        <v>43</v>
      </c>
    </row>
    <row r="58" spans="1:15" x14ac:dyDescent="0.25">
      <c r="A58" s="985"/>
      <c r="B58" s="986"/>
      <c r="C58" s="146"/>
      <c r="D58" s="147"/>
      <c r="E58" s="146"/>
      <c r="F58" s="147"/>
      <c r="G58" s="146"/>
      <c r="H58" s="147"/>
      <c r="I58" s="146"/>
      <c r="J58" s="147"/>
      <c r="K58" s="146"/>
      <c r="L58" s="147"/>
      <c r="M58" s="1017"/>
      <c r="N58" s="1018"/>
      <c r="O58" s="1019"/>
    </row>
    <row r="59" spans="1:15" x14ac:dyDescent="0.25">
      <c r="A59" s="148"/>
      <c r="B59" s="151"/>
      <c r="C59" s="150"/>
      <c r="D59" s="151"/>
      <c r="E59" s="150"/>
      <c r="F59" s="151"/>
      <c r="G59" s="150"/>
      <c r="H59" s="151"/>
      <c r="I59" s="150"/>
      <c r="J59" s="151"/>
      <c r="K59" s="150"/>
      <c r="L59" s="151"/>
      <c r="M59" s="1020"/>
      <c r="N59" s="149"/>
      <c r="O59" s="179"/>
    </row>
    <row r="60" spans="1:15" x14ac:dyDescent="0.25">
      <c r="A60" s="148"/>
      <c r="B60" s="151"/>
      <c r="C60" s="150"/>
      <c r="D60" s="151"/>
      <c r="E60" s="150"/>
      <c r="F60" s="151"/>
      <c r="G60" s="150"/>
      <c r="H60" s="151"/>
      <c r="I60" s="150"/>
      <c r="J60" s="151"/>
      <c r="K60" s="150"/>
      <c r="L60" s="151"/>
      <c r="M60" s="1021"/>
      <c r="N60" s="149"/>
      <c r="O60" s="179"/>
    </row>
    <row r="61" spans="1:15" x14ac:dyDescent="0.25">
      <c r="A61" s="148"/>
      <c r="B61" s="151"/>
      <c r="C61" s="150"/>
      <c r="D61" s="151"/>
      <c r="E61" s="150"/>
      <c r="F61" s="151"/>
      <c r="G61" s="150"/>
      <c r="H61" s="151"/>
      <c r="I61" s="150"/>
      <c r="J61" s="151"/>
      <c r="K61" s="150"/>
      <c r="L61" s="151"/>
      <c r="M61" s="1021"/>
      <c r="N61" s="149"/>
      <c r="O61" s="179"/>
    </row>
    <row r="62" spans="1:15" x14ac:dyDescent="0.25">
      <c r="A62" s="148"/>
      <c r="B62" s="151"/>
      <c r="C62" s="150"/>
      <c r="D62" s="151"/>
      <c r="E62" s="150"/>
      <c r="F62" s="151"/>
      <c r="G62" s="150"/>
      <c r="H62" s="151"/>
      <c r="I62" s="150"/>
      <c r="J62" s="151"/>
      <c r="K62" s="150"/>
      <c r="L62" s="151"/>
      <c r="M62" s="1021"/>
      <c r="N62" s="149"/>
      <c r="O62" s="179"/>
    </row>
    <row r="63" spans="1:15" x14ac:dyDescent="0.25">
      <c r="A63" s="148"/>
      <c r="B63" s="151"/>
      <c r="C63" s="150"/>
      <c r="D63" s="151"/>
      <c r="E63" s="150"/>
      <c r="F63" s="151"/>
      <c r="G63" s="150"/>
      <c r="H63" s="151"/>
      <c r="I63" s="150"/>
      <c r="J63" s="151"/>
      <c r="K63" s="150"/>
      <c r="L63" s="151"/>
      <c r="M63" s="1021"/>
      <c r="N63" s="149"/>
      <c r="O63" s="179"/>
    </row>
    <row r="64" spans="1:15" x14ac:dyDescent="0.25">
      <c r="A64" s="148"/>
      <c r="B64" s="151"/>
      <c r="C64" s="150"/>
      <c r="D64" s="151"/>
      <c r="E64" s="150"/>
      <c r="F64" s="151"/>
      <c r="G64" s="150"/>
      <c r="H64" s="151"/>
      <c r="I64" s="150"/>
      <c r="J64" s="151"/>
      <c r="K64" s="150"/>
      <c r="L64" s="151"/>
      <c r="M64" s="1021"/>
      <c r="N64" s="149"/>
      <c r="O64" s="179"/>
    </row>
    <row r="65" spans="1:15" x14ac:dyDescent="0.25">
      <c r="A65" s="148"/>
      <c r="B65" s="151"/>
      <c r="C65" s="150"/>
      <c r="D65" s="151"/>
      <c r="E65" s="150"/>
      <c r="F65" s="151"/>
      <c r="G65" s="150"/>
      <c r="H65" s="151"/>
      <c r="I65" s="150"/>
      <c r="J65" s="151"/>
      <c r="K65" s="150"/>
      <c r="L65" s="151"/>
      <c r="M65" s="1021"/>
      <c r="N65" s="149"/>
      <c r="O65" s="179"/>
    </row>
    <row r="66" spans="1:15" x14ac:dyDescent="0.25">
      <c r="A66" s="148"/>
      <c r="B66" s="151"/>
      <c r="C66" s="150"/>
      <c r="D66" s="151"/>
      <c r="E66" s="150"/>
      <c r="F66" s="151"/>
      <c r="G66" s="150"/>
      <c r="H66" s="151"/>
      <c r="I66" s="150"/>
      <c r="J66" s="151"/>
      <c r="K66" s="150"/>
      <c r="L66" s="151"/>
      <c r="M66" s="1021"/>
      <c r="N66" s="149"/>
      <c r="O66" s="179"/>
    </row>
    <row r="67" spans="1:15" ht="15.6" thickBot="1" x14ac:dyDescent="0.3">
      <c r="A67" s="152"/>
      <c r="B67" s="155"/>
      <c r="C67" s="154"/>
      <c r="D67" s="155"/>
      <c r="E67" s="154"/>
      <c r="F67" s="155"/>
      <c r="G67" s="154"/>
      <c r="H67" s="155"/>
      <c r="I67" s="154"/>
      <c r="J67" s="155"/>
      <c r="K67" s="154"/>
      <c r="L67" s="155"/>
      <c r="M67" s="1022"/>
      <c r="N67" s="153"/>
      <c r="O67" s="1023"/>
    </row>
    <row r="68" spans="1:15" x14ac:dyDescent="0.25">
      <c r="A68" s="878"/>
      <c r="B68" s="879"/>
      <c r="C68" s="879"/>
      <c r="D68" s="879"/>
      <c r="E68" s="879"/>
      <c r="F68" s="879"/>
      <c r="G68" s="879"/>
      <c r="H68" s="879"/>
      <c r="M68" s="879"/>
      <c r="N68" s="884" t="s">
        <v>559</v>
      </c>
      <c r="O68" s="1010">
        <f>SUM(O58:O67)</f>
        <v>0</v>
      </c>
    </row>
    <row r="69" spans="1:15" ht="15.6" thickBot="1" x14ac:dyDescent="0.3">
      <c r="A69" s="163"/>
      <c r="B69" s="164"/>
      <c r="C69" s="164"/>
      <c r="D69" s="164"/>
      <c r="E69" s="164"/>
      <c r="F69" s="164"/>
      <c r="G69" s="164"/>
      <c r="H69" s="164"/>
      <c r="M69" s="164"/>
      <c r="N69" s="164" t="s">
        <v>522</v>
      </c>
      <c r="O69" s="928"/>
    </row>
    <row r="70" spans="1:15" ht="15.6" thickBot="1" x14ac:dyDescent="0.3">
      <c r="A70" s="175"/>
      <c r="B70" s="132"/>
      <c r="C70" s="132"/>
      <c r="D70" s="132"/>
      <c r="E70" s="132"/>
      <c r="F70" s="132"/>
      <c r="G70" s="132"/>
      <c r="H70" s="903"/>
      <c r="I70" s="903"/>
      <c r="J70" s="903"/>
      <c r="K70" s="903"/>
      <c r="L70" s="132"/>
      <c r="M70" s="132"/>
      <c r="N70" s="132"/>
      <c r="O70" s="1024"/>
    </row>
    <row r="71" spans="1:15" ht="15.6" thickTop="1" x14ac:dyDescent="0.25">
      <c r="A71" s="1013" t="s">
        <v>560</v>
      </c>
      <c r="B71" s="1014"/>
      <c r="C71" s="60"/>
      <c r="D71" s="60"/>
      <c r="E71" s="60"/>
      <c r="F71" s="60"/>
      <c r="G71" s="60"/>
      <c r="H71" s="1025"/>
      <c r="I71" s="1025"/>
      <c r="J71" s="1025"/>
      <c r="K71" s="1025"/>
      <c r="L71" s="60"/>
      <c r="M71" s="60"/>
      <c r="N71" s="60"/>
      <c r="O71" s="977"/>
    </row>
    <row r="72" spans="1:15" ht="27.6" x14ac:dyDescent="0.25">
      <c r="A72" s="656" t="s">
        <v>528</v>
      </c>
      <c r="B72" s="657" t="s">
        <v>4</v>
      </c>
      <c r="C72" s="639" t="s">
        <v>40</v>
      </c>
      <c r="D72" s="659" t="s">
        <v>25</v>
      </c>
      <c r="E72" s="1026" t="s">
        <v>45</v>
      </c>
      <c r="F72" s="1026" t="s">
        <v>46</v>
      </c>
      <c r="G72" s="2007" t="s">
        <v>561</v>
      </c>
      <c r="H72" s="2027"/>
      <c r="I72" s="2028" t="s">
        <v>562</v>
      </c>
      <c r="J72" s="2029"/>
      <c r="K72" s="1027" t="s">
        <v>563</v>
      </c>
      <c r="L72" s="2030" t="s">
        <v>55</v>
      </c>
      <c r="M72" s="2030"/>
      <c r="N72" s="658" t="s">
        <v>56</v>
      </c>
      <c r="O72" s="652" t="s">
        <v>43</v>
      </c>
    </row>
    <row r="73" spans="1:15" x14ac:dyDescent="0.25">
      <c r="A73" s="177"/>
      <c r="B73" s="1028"/>
      <c r="C73" s="150"/>
      <c r="D73" s="150"/>
      <c r="E73" s="149"/>
      <c r="F73" s="149"/>
      <c r="G73" s="772"/>
      <c r="H73" s="773"/>
      <c r="I73" s="772"/>
      <c r="J73" s="773"/>
      <c r="K73" s="149"/>
      <c r="L73" s="772"/>
      <c r="M73" s="773"/>
      <c r="N73" s="149"/>
      <c r="O73" s="179"/>
    </row>
    <row r="74" spans="1:15" x14ac:dyDescent="0.25">
      <c r="A74" s="1029"/>
      <c r="B74" s="1028"/>
      <c r="C74" s="150"/>
      <c r="D74" s="150"/>
      <c r="E74" s="149"/>
      <c r="F74" s="149"/>
      <c r="G74" s="150"/>
      <c r="H74" s="151"/>
      <c r="I74" s="150"/>
      <c r="J74" s="151"/>
      <c r="K74" s="149"/>
      <c r="L74" s="150"/>
      <c r="M74" s="151"/>
      <c r="N74" s="149"/>
      <c r="O74" s="179"/>
    </row>
    <row r="75" spans="1:15" x14ac:dyDescent="0.25">
      <c r="A75" s="1029"/>
      <c r="B75" s="1028"/>
      <c r="C75" s="150"/>
      <c r="D75" s="150"/>
      <c r="E75" s="149"/>
      <c r="F75" s="149"/>
      <c r="G75" s="150"/>
      <c r="H75" s="151"/>
      <c r="I75" s="150"/>
      <c r="J75" s="151"/>
      <c r="K75" s="149"/>
      <c r="L75" s="150"/>
      <c r="M75" s="151"/>
      <c r="N75" s="149"/>
      <c r="O75" s="179"/>
    </row>
    <row r="76" spans="1:15" x14ac:dyDescent="0.25">
      <c r="A76" s="1029"/>
      <c r="B76" s="1028"/>
      <c r="C76" s="150"/>
      <c r="D76" s="150"/>
      <c r="E76" s="149"/>
      <c r="F76" s="149"/>
      <c r="G76" s="150"/>
      <c r="H76" s="151"/>
      <c r="I76" s="150"/>
      <c r="J76" s="151"/>
      <c r="K76" s="149"/>
      <c r="L76" s="150"/>
      <c r="M76" s="151"/>
      <c r="N76" s="149"/>
      <c r="O76" s="179"/>
    </row>
    <row r="77" spans="1:15" x14ac:dyDescent="0.25">
      <c r="A77" s="1029"/>
      <c r="B77" s="1028"/>
      <c r="C77" s="150"/>
      <c r="D77" s="150"/>
      <c r="E77" s="149"/>
      <c r="F77" s="149"/>
      <c r="G77" s="150"/>
      <c r="H77" s="151"/>
      <c r="I77" s="150"/>
      <c r="J77" s="151"/>
      <c r="K77" s="149"/>
      <c r="L77" s="150"/>
      <c r="M77" s="151"/>
      <c r="N77" s="149"/>
      <c r="O77" s="179"/>
    </row>
    <row r="78" spans="1:15" x14ac:dyDescent="0.25">
      <c r="A78" s="1030"/>
      <c r="B78" s="1031"/>
      <c r="C78" s="150"/>
      <c r="D78" s="150"/>
      <c r="E78" s="149"/>
      <c r="F78" s="149"/>
      <c r="G78" s="150"/>
      <c r="H78" s="151"/>
      <c r="I78" s="150"/>
      <c r="J78" s="151"/>
      <c r="K78" s="149"/>
      <c r="L78" s="150"/>
      <c r="M78" s="151"/>
      <c r="N78" s="149"/>
      <c r="O78" s="179"/>
    </row>
    <row r="79" spans="1:15" x14ac:dyDescent="0.25">
      <c r="A79" s="148"/>
      <c r="B79" s="161"/>
      <c r="C79" s="150"/>
      <c r="D79" s="150"/>
      <c r="E79" s="149"/>
      <c r="F79" s="149"/>
      <c r="G79" s="150"/>
      <c r="H79" s="151"/>
      <c r="I79" s="150"/>
      <c r="J79" s="151"/>
      <c r="K79" s="149"/>
      <c r="L79" s="150"/>
      <c r="M79" s="151"/>
      <c r="N79" s="149"/>
      <c r="O79" s="179"/>
    </row>
    <row r="80" spans="1:15" x14ac:dyDescent="0.25">
      <c r="A80" s="148"/>
      <c r="B80" s="161"/>
      <c r="C80" s="150"/>
      <c r="D80" s="150"/>
      <c r="E80" s="149"/>
      <c r="F80" s="149"/>
      <c r="G80" s="150"/>
      <c r="H80" s="151"/>
      <c r="I80" s="150"/>
      <c r="J80" s="151"/>
      <c r="K80" s="149"/>
      <c r="L80" s="150"/>
      <c r="M80" s="151"/>
      <c r="N80" s="149"/>
      <c r="O80" s="179"/>
    </row>
    <row r="81" spans="1:15" x14ac:dyDescent="0.25">
      <c r="A81" s="148"/>
      <c r="B81" s="161"/>
      <c r="C81" s="150"/>
      <c r="D81" s="150"/>
      <c r="E81" s="149"/>
      <c r="F81" s="149"/>
      <c r="G81" s="150"/>
      <c r="H81" s="151"/>
      <c r="I81" s="150"/>
      <c r="J81" s="151"/>
      <c r="K81" s="149"/>
      <c r="L81" s="150"/>
      <c r="M81" s="151"/>
      <c r="N81" s="149"/>
      <c r="O81" s="179"/>
    </row>
    <row r="82" spans="1:15" ht="15.6" thickBot="1" x14ac:dyDescent="0.3">
      <c r="A82" s="152"/>
      <c r="B82" s="162"/>
      <c r="C82" s="154"/>
      <c r="D82" s="154"/>
      <c r="E82" s="153"/>
      <c r="F82" s="153"/>
      <c r="G82" s="154"/>
      <c r="H82" s="155"/>
      <c r="I82" s="154"/>
      <c r="J82" s="155"/>
      <c r="K82" s="153"/>
      <c r="L82" s="154"/>
      <c r="M82" s="155"/>
      <c r="N82" s="153"/>
      <c r="O82" s="1023"/>
    </row>
    <row r="83" spans="1:15" x14ac:dyDescent="0.25">
      <c r="A83" s="878"/>
      <c r="B83" s="879"/>
      <c r="C83" s="879"/>
      <c r="D83" s="879"/>
      <c r="E83" s="879"/>
      <c r="F83" s="879"/>
      <c r="G83" s="879"/>
      <c r="L83" s="879"/>
      <c r="M83" s="879"/>
      <c r="N83" s="884" t="s">
        <v>564</v>
      </c>
      <c r="O83" s="1010">
        <f>SUM(O73:O82)</f>
        <v>0</v>
      </c>
    </row>
    <row r="84" spans="1:15" ht="15.6" thickBot="1" x14ac:dyDescent="0.3">
      <c r="A84" s="163"/>
      <c r="B84" s="164"/>
      <c r="C84" s="164"/>
      <c r="D84" s="164"/>
      <c r="E84" s="164"/>
      <c r="F84" s="164"/>
      <c r="G84" s="164"/>
      <c r="L84" s="164"/>
      <c r="M84" s="164"/>
      <c r="N84" s="164" t="s">
        <v>522</v>
      </c>
      <c r="O84" s="928"/>
    </row>
    <row r="85" spans="1:15" ht="15.6" thickBot="1" x14ac:dyDescent="0.3">
      <c r="A85" s="163"/>
      <c r="B85" s="164"/>
      <c r="C85" s="164"/>
      <c r="D85" s="164"/>
      <c r="E85" s="164"/>
      <c r="F85" s="164"/>
      <c r="G85" s="164"/>
      <c r="H85" s="903"/>
      <c r="I85" s="903"/>
      <c r="J85" s="903"/>
      <c r="K85" s="903"/>
      <c r="L85" s="164"/>
      <c r="M85" s="164"/>
      <c r="N85" s="1032"/>
      <c r="O85" s="1228"/>
    </row>
    <row r="86" spans="1:15" ht="15.6" thickTop="1" x14ac:dyDescent="0.25">
      <c r="A86" s="927"/>
      <c r="B86" s="172"/>
      <c r="C86" s="172"/>
      <c r="D86" s="172"/>
      <c r="E86" s="172"/>
      <c r="F86" s="172"/>
      <c r="G86" s="172"/>
      <c r="L86" s="172"/>
      <c r="M86" s="172"/>
      <c r="N86" s="172" t="s">
        <v>565</v>
      </c>
      <c r="O86" s="1033">
        <f>O35+O53+O68+O83</f>
        <v>0</v>
      </c>
    </row>
    <row r="87" spans="1:15" ht="15.6" thickBot="1" x14ac:dyDescent="0.3">
      <c r="A87" s="163"/>
      <c r="B87" s="164"/>
      <c r="C87" s="164"/>
      <c r="D87" s="164"/>
      <c r="E87" s="164"/>
      <c r="F87" s="164"/>
      <c r="G87" s="164"/>
      <c r="L87" s="164"/>
      <c r="M87" s="164"/>
      <c r="N87" s="164" t="s">
        <v>522</v>
      </c>
      <c r="O87" s="1034">
        <f>O36+O53+O69+O84</f>
        <v>0</v>
      </c>
    </row>
    <row r="88" spans="1:15" ht="15.6" thickBot="1" x14ac:dyDescent="0.3">
      <c r="A88" s="1035"/>
      <c r="B88" s="903"/>
      <c r="C88" s="903"/>
      <c r="D88" s="903"/>
      <c r="E88" s="903"/>
      <c r="F88" s="903"/>
      <c r="G88" s="903"/>
      <c r="H88" s="903"/>
      <c r="I88" s="903"/>
      <c r="J88" s="903"/>
      <c r="K88" s="903"/>
      <c r="L88" s="903"/>
      <c r="M88" s="903"/>
      <c r="N88" s="1036" t="s">
        <v>547</v>
      </c>
      <c r="O88" s="1229">
        <f>O86-O87</f>
        <v>0</v>
      </c>
    </row>
    <row r="89" spans="1:15" ht="15.6" thickTop="1" x14ac:dyDescent="0.25"/>
    <row r="90" spans="1:15" x14ac:dyDescent="0.25">
      <c r="B90" s="782" t="s">
        <v>432</v>
      </c>
      <c r="G90" s="1037"/>
      <c r="H90" s="1037"/>
    </row>
    <row r="91" spans="1:15" x14ac:dyDescent="0.25">
      <c r="B91" s="782" t="s">
        <v>434</v>
      </c>
    </row>
    <row r="92" spans="1:15" x14ac:dyDescent="0.25">
      <c r="A92" s="600"/>
      <c r="B92" s="782" t="s">
        <v>436</v>
      </c>
      <c r="C92" s="600"/>
      <c r="D92" s="600"/>
      <c r="E92" s="600"/>
      <c r="F92" s="600"/>
      <c r="G92" s="600"/>
      <c r="H92" s="600"/>
      <c r="I92" s="600"/>
      <c r="J92" s="600"/>
      <c r="K92" s="600"/>
    </row>
  </sheetData>
  <mergeCells count="28">
    <mergeCell ref="G72:H72"/>
    <mergeCell ref="I72:J72"/>
    <mergeCell ref="L72:M72"/>
    <mergeCell ref="M21:M22"/>
    <mergeCell ref="N21:N22"/>
    <mergeCell ref="O21:O22"/>
    <mergeCell ref="F42:G42"/>
    <mergeCell ref="H42:J42"/>
    <mergeCell ref="C57:D57"/>
    <mergeCell ref="E57:F57"/>
    <mergeCell ref="G57:H57"/>
    <mergeCell ref="I57:J57"/>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54" type="noConversion"/>
  <printOptions horizontalCentered="1"/>
  <pageMargins left="0.55118110236220474" right="0.55118110236220474" top="0.78740157480314965" bottom="0.78740157480314965" header="0.51181102362204722" footer="0.51181102362204722"/>
  <pageSetup paperSize="9" scale="68" orientation="landscape" r:id="rId1"/>
  <headerFooter alignWithMargins="0">
    <oddFooter>&amp;L&amp;8&amp;F Rev 1 of 310805&amp;C&amp;8&amp;A&amp;R&amp;8&amp;D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N65"/>
  <sheetViews>
    <sheetView topLeftCell="A43" zoomScaleNormal="100" zoomScaleSheetLayoutView="75" workbookViewId="0">
      <selection activeCell="I58" sqref="I58"/>
    </sheetView>
  </sheetViews>
  <sheetFormatPr defaultRowHeight="15" x14ac:dyDescent="0.25"/>
  <cols>
    <col min="1" max="1" width="5.33203125" customWidth="1"/>
    <col min="2" max="2" width="9.58203125" customWidth="1"/>
    <col min="3" max="3" width="10.75" customWidth="1"/>
    <col min="8" max="8" width="10" customWidth="1"/>
    <col min="9" max="9" width="11.4140625" customWidth="1"/>
    <col min="10" max="10" width="14.9140625" customWidth="1"/>
  </cols>
  <sheetData>
    <row r="1" spans="1:10" ht="18" thickTop="1" x14ac:dyDescent="0.25">
      <c r="A1" s="869" t="s">
        <v>57</v>
      </c>
      <c r="B1" s="870"/>
      <c r="C1" s="871"/>
      <c r="D1" s="871"/>
      <c r="E1" s="871"/>
      <c r="F1" s="871"/>
      <c r="G1" s="871"/>
      <c r="H1" s="871"/>
      <c r="I1" s="871"/>
      <c r="J1" s="872"/>
    </row>
    <row r="2" spans="1:10" ht="24" customHeight="1" x14ac:dyDescent="0.25">
      <c r="A2" s="892" t="s">
        <v>158</v>
      </c>
      <c r="B2" s="768"/>
      <c r="C2" s="129"/>
      <c r="D2" s="129"/>
      <c r="E2" s="60"/>
      <c r="G2" s="129"/>
      <c r="H2" s="874" t="s">
        <v>159</v>
      </c>
      <c r="I2" s="129"/>
      <c r="J2" s="210"/>
    </row>
    <row r="3" spans="1:10" ht="15.6" x14ac:dyDescent="0.25">
      <c r="A3" s="776"/>
      <c r="B3" s="777" t="s">
        <v>521</v>
      </c>
      <c r="C3" s="1144">
        <f>'Input Data'!D29</f>
        <v>0</v>
      </c>
      <c r="D3" s="137"/>
      <c r="E3" s="875" t="s">
        <v>210</v>
      </c>
      <c r="F3" s="770">
        <f>'Input Data'!D7</f>
        <v>0</v>
      </c>
      <c r="G3" s="60"/>
      <c r="H3" s="60"/>
      <c r="I3" s="60"/>
      <c r="J3" s="27"/>
    </row>
    <row r="4" spans="1:10" ht="15.6" thickBot="1" x14ac:dyDescent="0.3">
      <c r="A4" s="175"/>
      <c r="B4" s="132"/>
      <c r="C4" s="132"/>
      <c r="D4" s="132"/>
      <c r="E4" s="132"/>
      <c r="F4" s="132"/>
      <c r="G4" s="132"/>
      <c r="H4" s="132"/>
      <c r="I4" s="132"/>
      <c r="J4" s="135"/>
    </row>
    <row r="5" spans="1:10" ht="15.6" thickTop="1" x14ac:dyDescent="0.25">
      <c r="A5" s="211"/>
      <c r="B5" s="130"/>
      <c r="C5" s="130"/>
      <c r="D5" s="130"/>
      <c r="E5" s="130"/>
      <c r="F5" s="130"/>
      <c r="G5" s="130"/>
      <c r="H5" s="130"/>
      <c r="I5" s="130"/>
      <c r="J5" s="131"/>
    </row>
    <row r="6" spans="1:10" x14ac:dyDescent="0.25">
      <c r="A6" s="176" t="s">
        <v>14</v>
      </c>
      <c r="B6" s="876"/>
      <c r="C6" s="158"/>
      <c r="D6" s="158"/>
      <c r="E6" s="158"/>
      <c r="F6" s="158"/>
      <c r="G6" s="158"/>
      <c r="H6" s="158"/>
      <c r="I6" s="158"/>
      <c r="J6" s="159"/>
    </row>
    <row r="7" spans="1:10" ht="26.4" x14ac:dyDescent="0.25">
      <c r="A7" s="867" t="s">
        <v>520</v>
      </c>
      <c r="B7" s="658" t="s">
        <v>4</v>
      </c>
      <c r="C7" s="890" t="s">
        <v>58</v>
      </c>
      <c r="D7" s="890"/>
      <c r="E7" s="890"/>
      <c r="F7" s="890"/>
      <c r="G7" s="891"/>
      <c r="H7" s="212" t="s">
        <v>17</v>
      </c>
      <c r="I7" s="212" t="s">
        <v>5</v>
      </c>
      <c r="J7" s="143" t="s">
        <v>43</v>
      </c>
    </row>
    <row r="8" spans="1:10" x14ac:dyDescent="0.25">
      <c r="A8" s="877"/>
      <c r="B8" s="178"/>
      <c r="C8" s="775"/>
      <c r="D8" s="775"/>
      <c r="E8" s="775"/>
      <c r="F8" s="775"/>
      <c r="G8" s="773"/>
      <c r="H8" s="167"/>
      <c r="I8" s="1230"/>
      <c r="J8" s="1231">
        <f t="shared" ref="J8:J17" si="0">H8*I8</f>
        <v>0</v>
      </c>
    </row>
    <row r="9" spans="1:10" x14ac:dyDescent="0.25">
      <c r="A9" s="148"/>
      <c r="B9" s="149"/>
      <c r="C9" s="161"/>
      <c r="D9" s="161"/>
      <c r="E9" s="161"/>
      <c r="F9" s="161"/>
      <c r="G9" s="151"/>
      <c r="H9" s="149"/>
      <c r="I9" s="1226"/>
      <c r="J9" s="918">
        <f t="shared" si="0"/>
        <v>0</v>
      </c>
    </row>
    <row r="10" spans="1:10" x14ac:dyDescent="0.25">
      <c r="A10" s="148"/>
      <c r="B10" s="149"/>
      <c r="C10" s="161"/>
      <c r="D10" s="161"/>
      <c r="E10" s="161"/>
      <c r="F10" s="161"/>
      <c r="G10" s="151"/>
      <c r="H10" s="149"/>
      <c r="I10" s="1226"/>
      <c r="J10" s="918">
        <f t="shared" si="0"/>
        <v>0</v>
      </c>
    </row>
    <row r="11" spans="1:10" x14ac:dyDescent="0.25">
      <c r="A11" s="148"/>
      <c r="B11" s="149"/>
      <c r="C11" s="161"/>
      <c r="D11" s="161"/>
      <c r="E11" s="161"/>
      <c r="F11" s="161"/>
      <c r="G11" s="151"/>
      <c r="H11" s="149"/>
      <c r="I11" s="1226"/>
      <c r="J11" s="918">
        <f t="shared" si="0"/>
        <v>0</v>
      </c>
    </row>
    <row r="12" spans="1:10" x14ac:dyDescent="0.25">
      <c r="A12" s="148"/>
      <c r="B12" s="149"/>
      <c r="C12" s="161"/>
      <c r="D12" s="161"/>
      <c r="E12" s="161"/>
      <c r="F12" s="161"/>
      <c r="G12" s="151"/>
      <c r="H12" s="149"/>
      <c r="I12" s="1226"/>
      <c r="J12" s="918">
        <f t="shared" si="0"/>
        <v>0</v>
      </c>
    </row>
    <row r="13" spans="1:10" x14ac:dyDescent="0.25">
      <c r="A13" s="148"/>
      <c r="B13" s="149"/>
      <c r="C13" s="161"/>
      <c r="D13" s="161"/>
      <c r="E13" s="161"/>
      <c r="F13" s="161"/>
      <c r="G13" s="151"/>
      <c r="H13" s="149"/>
      <c r="I13" s="1226"/>
      <c r="J13" s="918">
        <f t="shared" si="0"/>
        <v>0</v>
      </c>
    </row>
    <row r="14" spans="1:10" x14ac:dyDescent="0.25">
      <c r="A14" s="148"/>
      <c r="B14" s="149"/>
      <c r="C14" s="161"/>
      <c r="D14" s="161"/>
      <c r="E14" s="161"/>
      <c r="F14" s="161"/>
      <c r="G14" s="151"/>
      <c r="H14" s="149"/>
      <c r="I14" s="1226"/>
      <c r="J14" s="918">
        <f t="shared" si="0"/>
        <v>0</v>
      </c>
    </row>
    <row r="15" spans="1:10" x14ac:dyDescent="0.25">
      <c r="A15" s="148"/>
      <c r="B15" s="149"/>
      <c r="C15" s="161"/>
      <c r="D15" s="161"/>
      <c r="E15" s="161"/>
      <c r="F15" s="161"/>
      <c r="G15" s="151"/>
      <c r="H15" s="149"/>
      <c r="I15" s="1226"/>
      <c r="J15" s="918">
        <f t="shared" si="0"/>
        <v>0</v>
      </c>
    </row>
    <row r="16" spans="1:10" x14ac:dyDescent="0.25">
      <c r="A16" s="148"/>
      <c r="B16" s="149"/>
      <c r="C16" s="161"/>
      <c r="D16" s="161"/>
      <c r="E16" s="161"/>
      <c r="F16" s="161"/>
      <c r="G16" s="151"/>
      <c r="H16" s="149"/>
      <c r="I16" s="1226"/>
      <c r="J16" s="918">
        <f t="shared" si="0"/>
        <v>0</v>
      </c>
    </row>
    <row r="17" spans="1:10" ht="15.6" thickBot="1" x14ac:dyDescent="0.3">
      <c r="A17" s="180"/>
      <c r="B17" s="181"/>
      <c r="C17" s="774"/>
      <c r="D17" s="774"/>
      <c r="E17" s="774"/>
      <c r="F17" s="774"/>
      <c r="G17" s="771"/>
      <c r="H17" s="153"/>
      <c r="I17" s="1227"/>
      <c r="J17" s="921">
        <f t="shared" si="0"/>
        <v>0</v>
      </c>
    </row>
    <row r="18" spans="1:10" x14ac:dyDescent="0.25">
      <c r="A18" s="878"/>
      <c r="B18" s="879"/>
      <c r="C18" s="879"/>
      <c r="D18" s="879"/>
      <c r="E18" s="879"/>
      <c r="F18" s="879"/>
      <c r="G18" s="879"/>
      <c r="H18" s="879"/>
      <c r="I18" s="1232" t="s">
        <v>638</v>
      </c>
      <c r="J18" s="886">
        <f>SUM(J8:J17)</f>
        <v>0</v>
      </c>
    </row>
    <row r="19" spans="1:10" x14ac:dyDescent="0.25">
      <c r="A19" s="163"/>
      <c r="B19" s="164"/>
      <c r="C19" s="164"/>
      <c r="D19" s="164"/>
      <c r="E19" s="164"/>
      <c r="F19" s="164"/>
      <c r="G19" s="164"/>
      <c r="H19" s="164"/>
      <c r="I19" s="1032" t="s">
        <v>522</v>
      </c>
      <c r="J19" s="887"/>
    </row>
    <row r="20" spans="1:10" x14ac:dyDescent="0.25">
      <c r="A20" s="176" t="s">
        <v>15</v>
      </c>
      <c r="B20" s="868"/>
      <c r="C20" s="140"/>
      <c r="D20" s="140"/>
      <c r="E20" s="140"/>
      <c r="F20" s="140"/>
      <c r="G20" s="140"/>
      <c r="H20" s="140"/>
      <c r="I20" s="655"/>
      <c r="J20" s="881"/>
    </row>
    <row r="21" spans="1:10" ht="26.4" x14ac:dyDescent="0.25">
      <c r="A21" s="867" t="s">
        <v>520</v>
      </c>
      <c r="B21" s="660" t="s">
        <v>4</v>
      </c>
      <c r="C21" s="890" t="s">
        <v>16</v>
      </c>
      <c r="D21" s="890"/>
      <c r="E21" s="890"/>
      <c r="F21" s="891"/>
      <c r="G21" s="212" t="s">
        <v>17</v>
      </c>
      <c r="H21" s="212" t="s">
        <v>59</v>
      </c>
      <c r="I21" s="212" t="s">
        <v>5</v>
      </c>
      <c r="J21" s="882" t="s">
        <v>43</v>
      </c>
    </row>
    <row r="22" spans="1:10" ht="27" customHeight="1" x14ac:dyDescent="0.25">
      <c r="A22" s="877"/>
      <c r="B22" s="178"/>
      <c r="C22" s="775"/>
      <c r="D22" s="775"/>
      <c r="E22" s="775"/>
      <c r="F22" s="773"/>
      <c r="G22" s="145"/>
      <c r="H22" s="145"/>
      <c r="I22" s="1225"/>
      <c r="J22" s="915">
        <f t="shared" ref="J22:J31" si="1">G22*H22*I22</f>
        <v>0</v>
      </c>
    </row>
    <row r="23" spans="1:10" x14ac:dyDescent="0.25">
      <c r="A23" s="148"/>
      <c r="B23" s="149"/>
      <c r="C23" s="161"/>
      <c r="D23" s="161"/>
      <c r="E23" s="161"/>
      <c r="F23" s="151"/>
      <c r="G23" s="149"/>
      <c r="H23" s="149"/>
      <c r="I23" s="1226"/>
      <c r="J23" s="918">
        <f t="shared" si="1"/>
        <v>0</v>
      </c>
    </row>
    <row r="24" spans="1:10" x14ac:dyDescent="0.25">
      <c r="A24" s="148"/>
      <c r="B24" s="149"/>
      <c r="C24" s="161"/>
      <c r="D24" s="161"/>
      <c r="E24" s="161"/>
      <c r="F24" s="151"/>
      <c r="G24" s="149"/>
      <c r="H24" s="149"/>
      <c r="I24" s="1226"/>
      <c r="J24" s="918">
        <f t="shared" si="1"/>
        <v>0</v>
      </c>
    </row>
    <row r="25" spans="1:10" x14ac:dyDescent="0.25">
      <c r="A25" s="148"/>
      <c r="B25" s="149"/>
      <c r="C25" s="161"/>
      <c r="D25" s="161"/>
      <c r="E25" s="161"/>
      <c r="F25" s="151"/>
      <c r="G25" s="149"/>
      <c r="H25" s="149"/>
      <c r="I25" s="1226"/>
      <c r="J25" s="918">
        <f t="shared" si="1"/>
        <v>0</v>
      </c>
    </row>
    <row r="26" spans="1:10" x14ac:dyDescent="0.25">
      <c r="A26" s="148"/>
      <c r="B26" s="149"/>
      <c r="C26" s="161"/>
      <c r="D26" s="161"/>
      <c r="E26" s="161"/>
      <c r="F26" s="151"/>
      <c r="G26" s="149"/>
      <c r="H26" s="149"/>
      <c r="I26" s="1226"/>
      <c r="J26" s="918">
        <f t="shared" si="1"/>
        <v>0</v>
      </c>
    </row>
    <row r="27" spans="1:10" x14ac:dyDescent="0.25">
      <c r="A27" s="148"/>
      <c r="B27" s="149"/>
      <c r="C27" s="161"/>
      <c r="D27" s="161"/>
      <c r="E27" s="161"/>
      <c r="F27" s="151"/>
      <c r="G27" s="149"/>
      <c r="H27" s="149"/>
      <c r="I27" s="1226"/>
      <c r="J27" s="918">
        <f t="shared" si="1"/>
        <v>0</v>
      </c>
    </row>
    <row r="28" spans="1:10" x14ac:dyDescent="0.25">
      <c r="A28" s="148"/>
      <c r="B28" s="149"/>
      <c r="C28" s="161"/>
      <c r="D28" s="161"/>
      <c r="E28" s="161"/>
      <c r="F28" s="151"/>
      <c r="G28" s="149"/>
      <c r="H28" s="149"/>
      <c r="I28" s="1226"/>
      <c r="J28" s="918">
        <f t="shared" si="1"/>
        <v>0</v>
      </c>
    </row>
    <row r="29" spans="1:10" x14ac:dyDescent="0.25">
      <c r="A29" s="148"/>
      <c r="B29" s="149"/>
      <c r="C29" s="161"/>
      <c r="D29" s="161"/>
      <c r="E29" s="161"/>
      <c r="F29" s="151"/>
      <c r="G29" s="149"/>
      <c r="H29" s="149"/>
      <c r="I29" s="1226"/>
      <c r="J29" s="918">
        <f t="shared" si="1"/>
        <v>0</v>
      </c>
    </row>
    <row r="30" spans="1:10" x14ac:dyDescent="0.25">
      <c r="A30" s="148"/>
      <c r="B30" s="149"/>
      <c r="C30" s="161"/>
      <c r="D30" s="161"/>
      <c r="E30" s="161"/>
      <c r="F30" s="151"/>
      <c r="G30" s="149"/>
      <c r="H30" s="149"/>
      <c r="I30" s="1226"/>
      <c r="J30" s="918">
        <f t="shared" si="1"/>
        <v>0</v>
      </c>
    </row>
    <row r="31" spans="1:10" ht="15.6" thickBot="1" x14ac:dyDescent="0.3">
      <c r="A31" s="180"/>
      <c r="B31" s="181"/>
      <c r="C31" s="774"/>
      <c r="D31" s="774"/>
      <c r="E31" s="774"/>
      <c r="F31" s="771"/>
      <c r="G31" s="153"/>
      <c r="H31" s="153"/>
      <c r="I31" s="1227"/>
      <c r="J31" s="921">
        <f t="shared" si="1"/>
        <v>0</v>
      </c>
    </row>
    <row r="32" spans="1:10" x14ac:dyDescent="0.25">
      <c r="A32" s="878"/>
      <c r="B32" s="879"/>
      <c r="C32" s="879"/>
      <c r="D32" s="879"/>
      <c r="E32" s="879"/>
      <c r="F32" s="879"/>
      <c r="G32" s="879"/>
      <c r="H32" s="879"/>
      <c r="I32" s="1232" t="s">
        <v>639</v>
      </c>
      <c r="J32" s="886">
        <f>SUM(J22:J31)</f>
        <v>0</v>
      </c>
    </row>
    <row r="33" spans="1:10" x14ac:dyDescent="0.25">
      <c r="A33" s="163"/>
      <c r="B33" s="164"/>
      <c r="C33" s="164"/>
      <c r="D33" s="164"/>
      <c r="E33" s="164"/>
      <c r="F33" s="164"/>
      <c r="G33" s="164"/>
      <c r="H33" s="164"/>
      <c r="I33" s="1032" t="s">
        <v>522</v>
      </c>
      <c r="J33" s="887"/>
    </row>
    <row r="34" spans="1:10" x14ac:dyDescent="0.25">
      <c r="A34" s="176" t="s">
        <v>60</v>
      </c>
      <c r="B34" s="868"/>
      <c r="C34" s="140"/>
      <c r="D34" s="140"/>
      <c r="E34" s="140"/>
      <c r="F34" s="140"/>
      <c r="G34" s="140"/>
      <c r="H34" s="140"/>
      <c r="I34" s="655"/>
      <c r="J34" s="653"/>
    </row>
    <row r="35" spans="1:10" ht="30" x14ac:dyDescent="0.25">
      <c r="A35" s="867" t="s">
        <v>520</v>
      </c>
      <c r="B35" s="660" t="s">
        <v>4</v>
      </c>
      <c r="C35" s="890" t="s">
        <v>16</v>
      </c>
      <c r="D35" s="890"/>
      <c r="E35" s="890"/>
      <c r="F35" s="890"/>
      <c r="G35" s="891"/>
      <c r="H35" s="142" t="s">
        <v>61</v>
      </c>
      <c r="I35" s="142" t="s">
        <v>5</v>
      </c>
      <c r="J35" s="882" t="s">
        <v>43</v>
      </c>
    </row>
    <row r="36" spans="1:10" x14ac:dyDescent="0.25">
      <c r="A36" s="877"/>
      <c r="B36" s="178"/>
      <c r="C36" s="775"/>
      <c r="D36" s="775"/>
      <c r="E36" s="775"/>
      <c r="F36" s="775"/>
      <c r="G36" s="773"/>
      <c r="H36" s="145"/>
      <c r="I36" s="1225"/>
      <c r="J36" s="915">
        <f t="shared" ref="J36:J45" si="2">H36*I36</f>
        <v>0</v>
      </c>
    </row>
    <row r="37" spans="1:10" x14ac:dyDescent="0.25">
      <c r="A37" s="148"/>
      <c r="B37" s="149"/>
      <c r="C37" s="161"/>
      <c r="D37" s="161"/>
      <c r="E37" s="161"/>
      <c r="F37" s="161"/>
      <c r="G37" s="151"/>
      <c r="H37" s="149"/>
      <c r="I37" s="1226"/>
      <c r="J37" s="918">
        <f t="shared" si="2"/>
        <v>0</v>
      </c>
    </row>
    <row r="38" spans="1:10" x14ac:dyDescent="0.25">
      <c r="A38" s="148"/>
      <c r="B38" s="149"/>
      <c r="C38" s="161"/>
      <c r="D38" s="161"/>
      <c r="E38" s="161"/>
      <c r="F38" s="161"/>
      <c r="G38" s="151"/>
      <c r="H38" s="149"/>
      <c r="I38" s="1226"/>
      <c r="J38" s="918">
        <f t="shared" si="2"/>
        <v>0</v>
      </c>
    </row>
    <row r="39" spans="1:10" x14ac:dyDescent="0.25">
      <c r="A39" s="148"/>
      <c r="B39" s="149"/>
      <c r="C39" s="161"/>
      <c r="D39" s="161"/>
      <c r="E39" s="161"/>
      <c r="F39" s="161"/>
      <c r="G39" s="151"/>
      <c r="H39" s="149"/>
      <c r="I39" s="1226"/>
      <c r="J39" s="918">
        <f t="shared" si="2"/>
        <v>0</v>
      </c>
    </row>
    <row r="40" spans="1:10" x14ac:dyDescent="0.25">
      <c r="A40" s="148"/>
      <c r="B40" s="149"/>
      <c r="C40" s="161"/>
      <c r="D40" s="161"/>
      <c r="E40" s="161"/>
      <c r="F40" s="161"/>
      <c r="G40" s="151"/>
      <c r="H40" s="149"/>
      <c r="I40" s="1226"/>
      <c r="J40" s="918">
        <f t="shared" si="2"/>
        <v>0</v>
      </c>
    </row>
    <row r="41" spans="1:10" x14ac:dyDescent="0.25">
      <c r="A41" s="148"/>
      <c r="B41" s="149"/>
      <c r="C41" s="161"/>
      <c r="D41" s="161"/>
      <c r="E41" s="161"/>
      <c r="F41" s="161"/>
      <c r="G41" s="151"/>
      <c r="H41" s="149"/>
      <c r="I41" s="1226"/>
      <c r="J41" s="918">
        <f t="shared" si="2"/>
        <v>0</v>
      </c>
    </row>
    <row r="42" spans="1:10" x14ac:dyDescent="0.25">
      <c r="A42" s="148"/>
      <c r="B42" s="149"/>
      <c r="C42" s="161"/>
      <c r="D42" s="161"/>
      <c r="E42" s="161"/>
      <c r="F42" s="161"/>
      <c r="G42" s="151"/>
      <c r="H42" s="149"/>
      <c r="I42" s="1226"/>
      <c r="J42" s="918">
        <f t="shared" si="2"/>
        <v>0</v>
      </c>
    </row>
    <row r="43" spans="1:10" x14ac:dyDescent="0.25">
      <c r="A43" s="148"/>
      <c r="B43" s="149"/>
      <c r="C43" s="161"/>
      <c r="D43" s="161"/>
      <c r="E43" s="161"/>
      <c r="F43" s="161"/>
      <c r="G43" s="151"/>
      <c r="H43" s="149"/>
      <c r="I43" s="1226"/>
      <c r="J43" s="918">
        <f t="shared" si="2"/>
        <v>0</v>
      </c>
    </row>
    <row r="44" spans="1:10" x14ac:dyDescent="0.25">
      <c r="A44" s="148"/>
      <c r="B44" s="149"/>
      <c r="C44" s="161"/>
      <c r="D44" s="161"/>
      <c r="E44" s="161"/>
      <c r="F44" s="161"/>
      <c r="G44" s="151"/>
      <c r="H44" s="149"/>
      <c r="I44" s="1226"/>
      <c r="J44" s="918">
        <f t="shared" si="2"/>
        <v>0</v>
      </c>
    </row>
    <row r="45" spans="1:10" ht="15.6" thickBot="1" x14ac:dyDescent="0.3">
      <c r="A45" s="180"/>
      <c r="B45" s="181"/>
      <c r="C45" s="774"/>
      <c r="D45" s="774"/>
      <c r="E45" s="774"/>
      <c r="F45" s="774"/>
      <c r="G45" s="771"/>
      <c r="H45" s="153"/>
      <c r="I45" s="1227"/>
      <c r="J45" s="921">
        <f t="shared" si="2"/>
        <v>0</v>
      </c>
    </row>
    <row r="46" spans="1:10" x14ac:dyDescent="0.25">
      <c r="A46" s="878"/>
      <c r="B46" s="879"/>
      <c r="C46" s="879"/>
      <c r="D46" s="879"/>
      <c r="E46" s="879"/>
      <c r="F46" s="879"/>
      <c r="G46" s="879"/>
      <c r="H46" s="879"/>
      <c r="I46" s="1232" t="s">
        <v>640</v>
      </c>
      <c r="J46" s="886">
        <f>SUM(J36:J45)</f>
        <v>0</v>
      </c>
    </row>
    <row r="47" spans="1:10" x14ac:dyDescent="0.25">
      <c r="A47" s="163"/>
      <c r="B47" s="164"/>
      <c r="C47" s="164"/>
      <c r="D47" s="164"/>
      <c r="E47" s="164"/>
      <c r="F47" s="164"/>
      <c r="G47" s="164"/>
      <c r="H47" s="164"/>
      <c r="I47" s="1032" t="s">
        <v>522</v>
      </c>
      <c r="J47" s="887"/>
    </row>
    <row r="48" spans="1:10" x14ac:dyDescent="0.25">
      <c r="A48" s="139" t="s">
        <v>62</v>
      </c>
      <c r="B48" s="860"/>
      <c r="C48" s="213"/>
      <c r="D48" s="213"/>
      <c r="E48" s="213"/>
      <c r="F48" s="213"/>
      <c r="G48" s="213"/>
      <c r="H48" s="213"/>
      <c r="I48" s="883"/>
      <c r="J48" s="654"/>
    </row>
    <row r="49" spans="1:14" ht="30" x14ac:dyDescent="0.25">
      <c r="A49" s="867" t="s">
        <v>520</v>
      </c>
      <c r="B49" s="660" t="s">
        <v>4</v>
      </c>
      <c r="C49" s="212" t="s">
        <v>11</v>
      </c>
      <c r="D49" s="142" t="s">
        <v>63</v>
      </c>
      <c r="E49" s="2032" t="s">
        <v>64</v>
      </c>
      <c r="F49" s="2033"/>
      <c r="G49" s="212" t="s">
        <v>12</v>
      </c>
      <c r="H49" s="212" t="s">
        <v>13</v>
      </c>
      <c r="I49" s="212" t="s">
        <v>5</v>
      </c>
      <c r="J49" s="882" t="s">
        <v>43</v>
      </c>
    </row>
    <row r="50" spans="1:14" x14ac:dyDescent="0.25">
      <c r="A50" s="144"/>
      <c r="B50" s="859"/>
      <c r="C50" s="145"/>
      <c r="D50" s="145">
        <v>100</v>
      </c>
      <c r="E50" s="2037"/>
      <c r="F50" s="2038"/>
      <c r="G50" s="145"/>
      <c r="H50" s="145"/>
      <c r="I50" s="1225"/>
      <c r="J50" s="915">
        <f t="shared" ref="J50:J59" si="3">D50*I50</f>
        <v>0</v>
      </c>
    </row>
    <row r="51" spans="1:14" x14ac:dyDescent="0.25">
      <c r="A51" s="148"/>
      <c r="B51" s="151"/>
      <c r="C51" s="149"/>
      <c r="D51" s="149"/>
      <c r="E51" s="2039"/>
      <c r="F51" s="2040"/>
      <c r="G51" s="149"/>
      <c r="H51" s="149"/>
      <c r="I51" s="1226"/>
      <c r="J51" s="918">
        <f t="shared" si="3"/>
        <v>0</v>
      </c>
    </row>
    <row r="52" spans="1:14" x14ac:dyDescent="0.25">
      <c r="A52" s="148"/>
      <c r="B52" s="151"/>
      <c r="C52" s="149"/>
      <c r="D52" s="149"/>
      <c r="E52" s="2039"/>
      <c r="F52" s="2040"/>
      <c r="G52" s="149"/>
      <c r="H52" s="149"/>
      <c r="I52" s="1226"/>
      <c r="J52" s="918">
        <f t="shared" si="3"/>
        <v>0</v>
      </c>
    </row>
    <row r="53" spans="1:14" x14ac:dyDescent="0.25">
      <c r="A53" s="148"/>
      <c r="B53" s="151"/>
      <c r="C53" s="149"/>
      <c r="D53" s="149"/>
      <c r="E53" s="2039"/>
      <c r="F53" s="2040"/>
      <c r="G53" s="149"/>
      <c r="H53" s="149"/>
      <c r="I53" s="1226"/>
      <c r="J53" s="918">
        <f t="shared" si="3"/>
        <v>0</v>
      </c>
    </row>
    <row r="54" spans="1:14" x14ac:dyDescent="0.25">
      <c r="A54" s="148"/>
      <c r="B54" s="151"/>
      <c r="C54" s="149"/>
      <c r="D54" s="149"/>
      <c r="E54" s="2039"/>
      <c r="F54" s="2040"/>
      <c r="G54" s="149"/>
      <c r="H54" s="149"/>
      <c r="I54" s="1226"/>
      <c r="J54" s="918">
        <f t="shared" si="3"/>
        <v>0</v>
      </c>
    </row>
    <row r="55" spans="1:14" x14ac:dyDescent="0.25">
      <c r="A55" s="148"/>
      <c r="B55" s="151"/>
      <c r="C55" s="149"/>
      <c r="D55" s="149"/>
      <c r="E55" s="2039"/>
      <c r="F55" s="2040"/>
      <c r="G55" s="149"/>
      <c r="H55" s="149"/>
      <c r="I55" s="1226"/>
      <c r="J55" s="918">
        <f t="shared" si="3"/>
        <v>0</v>
      </c>
    </row>
    <row r="56" spans="1:14" x14ac:dyDescent="0.25">
      <c r="A56" s="148"/>
      <c r="B56" s="151"/>
      <c r="C56" s="149"/>
      <c r="D56" s="149"/>
      <c r="E56" s="2039"/>
      <c r="F56" s="2040"/>
      <c r="G56" s="149"/>
      <c r="H56" s="149"/>
      <c r="I56" s="1226"/>
      <c r="J56" s="918">
        <f t="shared" si="3"/>
        <v>0</v>
      </c>
    </row>
    <row r="57" spans="1:14" x14ac:dyDescent="0.25">
      <c r="A57" s="148"/>
      <c r="B57" s="151"/>
      <c r="C57" s="149"/>
      <c r="D57" s="149"/>
      <c r="E57" s="2039"/>
      <c r="F57" s="2040"/>
      <c r="G57" s="149"/>
      <c r="H57" s="149"/>
      <c r="I57" s="1226"/>
      <c r="J57" s="918">
        <f t="shared" si="3"/>
        <v>0</v>
      </c>
    </row>
    <row r="58" spans="1:14" x14ac:dyDescent="0.25">
      <c r="A58" s="148"/>
      <c r="B58" s="151"/>
      <c r="C58" s="149"/>
      <c r="D58" s="149"/>
      <c r="E58" s="2039"/>
      <c r="F58" s="2040"/>
      <c r="G58" s="149"/>
      <c r="H58" s="149"/>
      <c r="I58" s="1226"/>
      <c r="J58" s="918">
        <f t="shared" si="3"/>
        <v>0</v>
      </c>
      <c r="K58" s="285"/>
      <c r="L58" s="286"/>
      <c r="M58" s="286"/>
      <c r="N58" s="286"/>
    </row>
    <row r="59" spans="1:14" ht="15.6" thickBot="1" x14ac:dyDescent="0.3">
      <c r="A59" s="152"/>
      <c r="B59" s="155"/>
      <c r="C59" s="153"/>
      <c r="D59" s="153"/>
      <c r="E59" s="2041"/>
      <c r="F59" s="2042"/>
      <c r="G59" s="153"/>
      <c r="H59" s="153"/>
      <c r="I59" s="1227"/>
      <c r="J59" s="921">
        <f t="shared" si="3"/>
        <v>0</v>
      </c>
      <c r="K59" s="60"/>
      <c r="L59" s="60"/>
      <c r="M59" s="60"/>
      <c r="N59" s="60"/>
    </row>
    <row r="60" spans="1:14" x14ac:dyDescent="0.25">
      <c r="A60" s="878"/>
      <c r="B60" s="879"/>
      <c r="C60" s="879"/>
      <c r="D60" s="879"/>
      <c r="E60" s="879"/>
      <c r="F60" s="879"/>
      <c r="G60" s="879"/>
      <c r="H60" s="879"/>
      <c r="I60" s="1232" t="s">
        <v>641</v>
      </c>
      <c r="J60" s="886">
        <f>SUM(J50:J59)</f>
        <v>0</v>
      </c>
    </row>
    <row r="61" spans="1:14" x14ac:dyDescent="0.25">
      <c r="A61" s="163"/>
      <c r="B61" s="164"/>
      <c r="C61" s="164"/>
      <c r="D61" s="164"/>
      <c r="E61" s="164"/>
      <c r="F61" s="164"/>
      <c r="G61" s="164"/>
      <c r="H61" s="164"/>
      <c r="I61" s="1032" t="s">
        <v>522</v>
      </c>
      <c r="J61" s="887"/>
    </row>
    <row r="62" spans="1:14" ht="15.6" thickBot="1" x14ac:dyDescent="0.3">
      <c r="A62" s="2043"/>
      <c r="B62" s="2044"/>
      <c r="C62" s="2044"/>
      <c r="D62" s="2044"/>
      <c r="E62" s="2044"/>
      <c r="F62" s="2044"/>
      <c r="G62" s="2044"/>
      <c r="H62" s="2044"/>
      <c r="I62" s="2044"/>
      <c r="J62" s="885"/>
    </row>
    <row r="63" spans="1:14" ht="16.2" thickTop="1" thickBot="1" x14ac:dyDescent="0.3">
      <c r="A63" s="2034" t="s">
        <v>523</v>
      </c>
      <c r="B63" s="2035"/>
      <c r="C63" s="2035"/>
      <c r="D63" s="2035"/>
      <c r="E63" s="2035"/>
      <c r="F63" s="2035"/>
      <c r="G63" s="2035"/>
      <c r="H63" s="2035"/>
      <c r="I63" s="2036"/>
      <c r="J63" s="888">
        <f>J60+J46+J32+J18</f>
        <v>0</v>
      </c>
    </row>
    <row r="64" spans="1:14" ht="16.2" thickTop="1" thickBot="1" x14ac:dyDescent="0.3">
      <c r="A64" s="173"/>
      <c r="B64" s="171"/>
      <c r="C64" s="171"/>
      <c r="D64" s="171"/>
      <c r="E64" s="171"/>
      <c r="F64" s="171"/>
      <c r="G64" s="171"/>
      <c r="H64" s="171"/>
      <c r="I64" s="171" t="s">
        <v>522</v>
      </c>
      <c r="J64" s="889">
        <f>J61+J47+J33+J19</f>
        <v>0</v>
      </c>
    </row>
    <row r="65" spans="10:10" ht="15.6" thickTop="1" x14ac:dyDescent="0.25">
      <c r="J65" s="1193"/>
    </row>
  </sheetData>
  <mergeCells count="13">
    <mergeCell ref="E49:F49"/>
    <mergeCell ref="A63:I63"/>
    <mergeCell ref="E50:F50"/>
    <mergeCell ref="E51:F51"/>
    <mergeCell ref="E52:F52"/>
    <mergeCell ref="E53:F53"/>
    <mergeCell ref="E54:F54"/>
    <mergeCell ref="E55:F55"/>
    <mergeCell ref="E56:F56"/>
    <mergeCell ref="E57:F57"/>
    <mergeCell ref="E58:F58"/>
    <mergeCell ref="E59:F59"/>
    <mergeCell ref="A62:I62"/>
  </mergeCells>
  <phoneticPr fontId="54"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8"/>
  <sheetViews>
    <sheetView zoomScale="75" zoomScaleNormal="75" zoomScaleSheetLayoutView="75" workbookViewId="0">
      <selection activeCell="I18" sqref="I18"/>
    </sheetView>
  </sheetViews>
  <sheetFormatPr defaultRowHeight="15" x14ac:dyDescent="0.25"/>
  <cols>
    <col min="1" max="1" width="6.08203125" customWidth="1"/>
    <col min="2" max="2" width="10.58203125" customWidth="1"/>
    <col min="3" max="3" width="13.08203125" customWidth="1"/>
    <col min="4" max="4" width="19.08203125" customWidth="1"/>
    <col min="5" max="5" width="10.75" customWidth="1"/>
    <col min="6" max="6" width="13.75" customWidth="1"/>
    <col min="7" max="7" width="11" customWidth="1"/>
    <col min="8" max="8" width="9" bestFit="1" customWidth="1"/>
    <col min="9" max="9" width="13.08203125" customWidth="1"/>
  </cols>
  <sheetData>
    <row r="1" spans="1:9" ht="22.5" customHeight="1" thickTop="1" x14ac:dyDescent="0.25">
      <c r="A1" s="893" t="s">
        <v>65</v>
      </c>
      <c r="B1" s="894"/>
      <c r="C1" s="871"/>
      <c r="D1" s="871"/>
      <c r="E1" s="871"/>
      <c r="F1" s="871"/>
      <c r="G1" s="871"/>
      <c r="H1" s="871"/>
      <c r="I1" s="872"/>
    </row>
    <row r="2" spans="1:9" ht="19.5" customHeight="1" x14ac:dyDescent="0.25">
      <c r="A2" s="873" t="s">
        <v>158</v>
      </c>
      <c r="B2" s="768"/>
      <c r="C2" s="60"/>
      <c r="D2" s="60"/>
      <c r="E2" s="600"/>
      <c r="F2" s="874" t="s">
        <v>159</v>
      </c>
      <c r="G2" s="874"/>
      <c r="H2" s="60"/>
      <c r="I2" s="27"/>
    </row>
    <row r="3" spans="1:9" ht="16.2" thickBot="1" x14ac:dyDescent="0.3">
      <c r="A3" s="2003" t="s">
        <v>521</v>
      </c>
      <c r="B3" s="2004"/>
      <c r="C3" s="2004"/>
      <c r="D3" s="1077">
        <f>'Input Data'!D29</f>
        <v>0</v>
      </c>
      <c r="E3" s="134"/>
      <c r="F3" s="1079" t="s">
        <v>589</v>
      </c>
      <c r="G3" s="1145">
        <f>'Input Data'!D7</f>
        <v>0</v>
      </c>
      <c r="H3" s="132"/>
      <c r="I3" s="135"/>
    </row>
    <row r="4" spans="1:9" ht="15.6" thickTop="1" x14ac:dyDescent="0.25">
      <c r="A4" s="136"/>
      <c r="B4" s="137"/>
      <c r="C4" s="137"/>
      <c r="D4" s="138"/>
      <c r="E4" s="138"/>
      <c r="F4" s="138"/>
      <c r="G4" s="60"/>
      <c r="H4" s="60"/>
      <c r="I4" s="27"/>
    </row>
    <row r="5" spans="1:9" x14ac:dyDescent="0.25">
      <c r="A5" s="139" t="s">
        <v>66</v>
      </c>
      <c r="B5" s="858"/>
      <c r="C5" s="140"/>
      <c r="D5" s="140"/>
      <c r="E5" s="140"/>
      <c r="F5" s="140"/>
      <c r="G5" s="140"/>
      <c r="H5" s="140"/>
      <c r="I5" s="141"/>
    </row>
    <row r="6" spans="1:9" ht="27.6" x14ac:dyDescent="0.25">
      <c r="A6" s="867" t="s">
        <v>520</v>
      </c>
      <c r="B6" s="657" t="s">
        <v>67</v>
      </c>
      <c r="C6" s="658" t="s">
        <v>40</v>
      </c>
      <c r="D6" s="659" t="s">
        <v>25</v>
      </c>
      <c r="E6" s="657"/>
      <c r="F6" s="658" t="s">
        <v>575</v>
      </c>
      <c r="G6" s="658" t="s">
        <v>68</v>
      </c>
      <c r="H6" s="658" t="s">
        <v>313</v>
      </c>
      <c r="I6" s="912" t="s">
        <v>7</v>
      </c>
    </row>
    <row r="7" spans="1:9" x14ac:dyDescent="0.25">
      <c r="A7" s="1080"/>
      <c r="B7" s="1081"/>
      <c r="C7" s="1082"/>
      <c r="D7" s="1083"/>
      <c r="E7" s="1084"/>
      <c r="F7" s="1242"/>
      <c r="G7" s="1242"/>
      <c r="H7" s="1241"/>
      <c r="I7" s="915">
        <f>G7*H7</f>
        <v>0</v>
      </c>
    </row>
    <row r="8" spans="1:9" x14ac:dyDescent="0.25">
      <c r="A8" s="148"/>
      <c r="B8" s="151"/>
      <c r="C8" s="149"/>
      <c r="D8" s="150"/>
      <c r="E8" s="151"/>
      <c r="F8" s="1021"/>
      <c r="G8" s="1021"/>
      <c r="H8" s="1226"/>
      <c r="I8" s="918">
        <f t="shared" ref="I8:I16" si="0">G8*H8</f>
        <v>0</v>
      </c>
    </row>
    <row r="9" spans="1:9" x14ac:dyDescent="0.25">
      <c r="A9" s="148"/>
      <c r="B9" s="151"/>
      <c r="C9" s="149"/>
      <c r="D9" s="150"/>
      <c r="E9" s="151"/>
      <c r="F9" s="1021"/>
      <c r="G9" s="1021"/>
      <c r="H9" s="1226"/>
      <c r="I9" s="918">
        <f t="shared" si="0"/>
        <v>0</v>
      </c>
    </row>
    <row r="10" spans="1:9" x14ac:dyDescent="0.25">
      <c r="A10" s="148"/>
      <c r="B10" s="151"/>
      <c r="C10" s="149"/>
      <c r="D10" s="150"/>
      <c r="E10" s="151"/>
      <c r="F10" s="1021"/>
      <c r="G10" s="1021"/>
      <c r="H10" s="1226"/>
      <c r="I10" s="918">
        <f t="shared" si="0"/>
        <v>0</v>
      </c>
    </row>
    <row r="11" spans="1:9" x14ac:dyDescent="0.25">
      <c r="A11" s="148"/>
      <c r="B11" s="151"/>
      <c r="C11" s="149"/>
      <c r="D11" s="150"/>
      <c r="E11" s="151"/>
      <c r="F11" s="1021"/>
      <c r="G11" s="1021"/>
      <c r="H11" s="1226"/>
      <c r="I11" s="918">
        <f t="shared" si="0"/>
        <v>0</v>
      </c>
    </row>
    <row r="12" spans="1:9" x14ac:dyDescent="0.25">
      <c r="A12" s="148"/>
      <c r="B12" s="151"/>
      <c r="C12" s="149"/>
      <c r="D12" s="150"/>
      <c r="E12" s="151"/>
      <c r="F12" s="1021"/>
      <c r="G12" s="1021"/>
      <c r="H12" s="1226"/>
      <c r="I12" s="918">
        <f t="shared" si="0"/>
        <v>0</v>
      </c>
    </row>
    <row r="13" spans="1:9" x14ac:dyDescent="0.25">
      <c r="A13" s="148"/>
      <c r="B13" s="151"/>
      <c r="C13" s="149"/>
      <c r="D13" s="150"/>
      <c r="E13" s="151"/>
      <c r="F13" s="1021"/>
      <c r="G13" s="1021"/>
      <c r="H13" s="1226"/>
      <c r="I13" s="918">
        <f t="shared" si="0"/>
        <v>0</v>
      </c>
    </row>
    <row r="14" spans="1:9" x14ac:dyDescent="0.25">
      <c r="A14" s="148"/>
      <c r="B14" s="151"/>
      <c r="C14" s="149"/>
      <c r="D14" s="150"/>
      <c r="E14" s="151"/>
      <c r="F14" s="1021"/>
      <c r="G14" s="1021"/>
      <c r="H14" s="1226"/>
      <c r="I14" s="918">
        <f t="shared" si="0"/>
        <v>0</v>
      </c>
    </row>
    <row r="15" spans="1:9" x14ac:dyDescent="0.25">
      <c r="A15" s="148"/>
      <c r="B15" s="151"/>
      <c r="C15" s="149"/>
      <c r="D15" s="150"/>
      <c r="E15" s="151"/>
      <c r="F15" s="1021"/>
      <c r="G15" s="1021"/>
      <c r="H15" s="1226"/>
      <c r="I15" s="918">
        <f t="shared" si="0"/>
        <v>0</v>
      </c>
    </row>
    <row r="16" spans="1:9" ht="15.6" thickBot="1" x14ac:dyDescent="0.3">
      <c r="A16" s="1085"/>
      <c r="B16" s="166"/>
      <c r="C16" s="167"/>
      <c r="D16" s="165"/>
      <c r="E16" s="166"/>
      <c r="F16" s="1243"/>
      <c r="G16" s="1243"/>
      <c r="H16" s="1230"/>
      <c r="I16" s="921">
        <f t="shared" si="0"/>
        <v>0</v>
      </c>
    </row>
    <row r="17" spans="1:9" ht="15.6" thickBot="1" x14ac:dyDescent="0.3">
      <c r="A17" s="878"/>
      <c r="B17" s="879"/>
      <c r="C17" s="879"/>
      <c r="D17" s="879"/>
      <c r="E17" s="879"/>
      <c r="F17" s="879"/>
      <c r="G17" s="879"/>
      <c r="H17" s="884" t="s">
        <v>576</v>
      </c>
      <c r="I17" s="926">
        <f>SUM(I7:I16)</f>
        <v>0</v>
      </c>
    </row>
    <row r="18" spans="1:9" ht="16.2" thickTop="1" thickBot="1" x14ac:dyDescent="0.3">
      <c r="A18" s="175"/>
      <c r="B18" s="132"/>
      <c r="C18" s="132"/>
      <c r="D18" s="132"/>
      <c r="E18" s="132"/>
      <c r="F18" s="132"/>
      <c r="G18" s="132"/>
      <c r="H18" s="171" t="s">
        <v>522</v>
      </c>
      <c r="I18" s="1113"/>
    </row>
    <row r="19" spans="1:9" ht="15.6" thickTop="1" x14ac:dyDescent="0.25">
      <c r="A19" s="1059"/>
      <c r="B19" s="600"/>
      <c r="C19" s="600"/>
      <c r="D19" s="600"/>
      <c r="E19" s="600"/>
      <c r="F19" s="600"/>
      <c r="G19" s="600"/>
      <c r="H19" s="600"/>
      <c r="I19" s="601"/>
    </row>
    <row r="20" spans="1:9" x14ac:dyDescent="0.25">
      <c r="A20" s="139" t="s">
        <v>69</v>
      </c>
      <c r="B20" s="860"/>
      <c r="C20" s="158"/>
      <c r="D20" s="158"/>
      <c r="E20" s="158"/>
      <c r="F20" s="158"/>
      <c r="G20" s="158"/>
      <c r="H20" s="158"/>
      <c r="I20" s="881"/>
    </row>
    <row r="21" spans="1:9" ht="41.4" x14ac:dyDescent="0.25">
      <c r="A21" s="867" t="s">
        <v>520</v>
      </c>
      <c r="B21" s="660" t="s">
        <v>4</v>
      </c>
      <c r="C21" s="659" t="s">
        <v>40</v>
      </c>
      <c r="D21" s="1078"/>
      <c r="E21" s="659" t="s">
        <v>25</v>
      </c>
      <c r="F21" s="1078"/>
      <c r="G21" s="658" t="s">
        <v>599</v>
      </c>
      <c r="H21" s="658" t="s">
        <v>70</v>
      </c>
      <c r="I21" s="652" t="s">
        <v>7</v>
      </c>
    </row>
    <row r="22" spans="1:9" ht="27" customHeight="1" x14ac:dyDescent="0.25">
      <c r="A22" s="144"/>
      <c r="B22" s="861"/>
      <c r="C22" s="146"/>
      <c r="D22" s="160"/>
      <c r="E22" s="146"/>
      <c r="F22" s="147"/>
      <c r="G22" s="661"/>
      <c r="H22" s="1225"/>
      <c r="I22" s="1114">
        <f t="shared" ref="I22:I31" si="1">G22*H22</f>
        <v>0</v>
      </c>
    </row>
    <row r="23" spans="1:9" x14ac:dyDescent="0.25">
      <c r="A23" s="148"/>
      <c r="B23" s="161"/>
      <c r="C23" s="150"/>
      <c r="D23" s="161"/>
      <c r="E23" s="150"/>
      <c r="F23" s="151"/>
      <c r="G23" s="662"/>
      <c r="H23" s="1226"/>
      <c r="I23" s="1115">
        <f t="shared" si="1"/>
        <v>0</v>
      </c>
    </row>
    <row r="24" spans="1:9" x14ac:dyDescent="0.25">
      <c r="A24" s="148"/>
      <c r="B24" s="161"/>
      <c r="C24" s="150"/>
      <c r="D24" s="161"/>
      <c r="E24" s="150"/>
      <c r="F24" s="151"/>
      <c r="G24" s="662"/>
      <c r="H24" s="1226"/>
      <c r="I24" s="1115">
        <f t="shared" si="1"/>
        <v>0</v>
      </c>
    </row>
    <row r="25" spans="1:9" x14ac:dyDescent="0.25">
      <c r="A25" s="148"/>
      <c r="B25" s="161"/>
      <c r="C25" s="150"/>
      <c r="D25" s="161"/>
      <c r="E25" s="150"/>
      <c r="F25" s="151"/>
      <c r="G25" s="662"/>
      <c r="H25" s="1226"/>
      <c r="I25" s="1115">
        <f t="shared" si="1"/>
        <v>0</v>
      </c>
    </row>
    <row r="26" spans="1:9" x14ac:dyDescent="0.25">
      <c r="A26" s="148"/>
      <c r="B26" s="161"/>
      <c r="C26" s="150"/>
      <c r="D26" s="161"/>
      <c r="E26" s="150"/>
      <c r="F26" s="151"/>
      <c r="G26" s="662"/>
      <c r="H26" s="1226"/>
      <c r="I26" s="1115">
        <f t="shared" si="1"/>
        <v>0</v>
      </c>
    </row>
    <row r="27" spans="1:9" x14ac:dyDescent="0.25">
      <c r="A27" s="148"/>
      <c r="B27" s="161"/>
      <c r="C27" s="150"/>
      <c r="D27" s="161"/>
      <c r="E27" s="150"/>
      <c r="F27" s="151"/>
      <c r="G27" s="662"/>
      <c r="H27" s="1226"/>
      <c r="I27" s="1115">
        <f t="shared" si="1"/>
        <v>0</v>
      </c>
    </row>
    <row r="28" spans="1:9" x14ac:dyDescent="0.25">
      <c r="A28" s="148"/>
      <c r="B28" s="161"/>
      <c r="C28" s="150"/>
      <c r="D28" s="161"/>
      <c r="E28" s="150"/>
      <c r="F28" s="151"/>
      <c r="G28" s="662"/>
      <c r="H28" s="1226"/>
      <c r="I28" s="1115">
        <f t="shared" si="1"/>
        <v>0</v>
      </c>
    </row>
    <row r="29" spans="1:9" x14ac:dyDescent="0.25">
      <c r="A29" s="148"/>
      <c r="B29" s="161"/>
      <c r="C29" s="150"/>
      <c r="D29" s="161"/>
      <c r="E29" s="150"/>
      <c r="F29" s="151"/>
      <c r="G29" s="662"/>
      <c r="H29" s="1226"/>
      <c r="I29" s="1115">
        <f t="shared" si="1"/>
        <v>0</v>
      </c>
    </row>
    <row r="30" spans="1:9" x14ac:dyDescent="0.25">
      <c r="A30" s="148"/>
      <c r="B30" s="161"/>
      <c r="C30" s="150"/>
      <c r="D30" s="161"/>
      <c r="E30" s="150"/>
      <c r="F30" s="151"/>
      <c r="G30" s="662"/>
      <c r="H30" s="1226"/>
      <c r="I30" s="1115">
        <f t="shared" si="1"/>
        <v>0</v>
      </c>
    </row>
    <row r="31" spans="1:9" ht="15.6" thickBot="1" x14ac:dyDescent="0.3">
      <c r="A31" s="1085"/>
      <c r="B31" s="1086"/>
      <c r="C31" s="165"/>
      <c r="D31" s="1086"/>
      <c r="E31" s="165"/>
      <c r="F31" s="166"/>
      <c r="G31" s="1087"/>
      <c r="H31" s="1230"/>
      <c r="I31" s="1116">
        <f t="shared" si="1"/>
        <v>0</v>
      </c>
    </row>
    <row r="32" spans="1:9" ht="15.6" thickBot="1" x14ac:dyDescent="0.3">
      <c r="A32" s="878"/>
      <c r="B32" s="879"/>
      <c r="C32" s="879"/>
      <c r="D32" s="879"/>
      <c r="E32" s="879"/>
      <c r="F32" s="879"/>
      <c r="G32" s="879"/>
      <c r="H32" s="1232" t="s">
        <v>577</v>
      </c>
      <c r="I32" s="926">
        <f>SUM(I22:I31)</f>
        <v>0</v>
      </c>
    </row>
    <row r="33" spans="1:9" ht="16.2" thickTop="1" thickBot="1" x14ac:dyDescent="0.3">
      <c r="A33" s="173"/>
      <c r="B33" s="171"/>
      <c r="C33" s="171"/>
      <c r="D33" s="171"/>
      <c r="E33" s="171"/>
      <c r="F33" s="171"/>
      <c r="G33" s="171"/>
      <c r="H33" s="1233" t="s">
        <v>522</v>
      </c>
      <c r="I33" s="1117"/>
    </row>
    <row r="34" spans="1:9" ht="15.6" thickTop="1" x14ac:dyDescent="0.25">
      <c r="A34" s="1059"/>
      <c r="B34" s="600"/>
      <c r="C34" s="600"/>
      <c r="D34" s="600"/>
      <c r="E34" s="600"/>
      <c r="F34" s="600"/>
      <c r="G34" s="600"/>
      <c r="H34" s="600"/>
      <c r="I34" s="601"/>
    </row>
    <row r="35" spans="1:9" x14ac:dyDescent="0.25">
      <c r="A35" s="139" t="s">
        <v>71</v>
      </c>
      <c r="B35" s="858"/>
      <c r="C35" s="140"/>
      <c r="D35" s="140"/>
      <c r="E35" s="140"/>
      <c r="F35" s="140"/>
      <c r="G35" s="140"/>
      <c r="H35" s="140"/>
      <c r="I35" s="653"/>
    </row>
    <row r="36" spans="1:9" ht="39.75" customHeight="1" x14ac:dyDescent="0.25">
      <c r="A36" s="867" t="s">
        <v>520</v>
      </c>
      <c r="B36" s="660" t="s">
        <v>4</v>
      </c>
      <c r="C36" s="639" t="s">
        <v>40</v>
      </c>
      <c r="D36" s="657"/>
      <c r="E36" s="658" t="s">
        <v>72</v>
      </c>
      <c r="F36" s="658" t="s">
        <v>73</v>
      </c>
      <c r="G36" s="658" t="s">
        <v>74</v>
      </c>
      <c r="H36" s="658" t="s">
        <v>314</v>
      </c>
      <c r="I36" s="652" t="s">
        <v>7</v>
      </c>
    </row>
    <row r="37" spans="1:9" x14ac:dyDescent="0.25">
      <c r="A37" s="1088"/>
      <c r="B37" s="1089"/>
      <c r="C37" s="1090"/>
      <c r="D37" s="1091"/>
      <c r="E37" s="1092"/>
      <c r="F37" s="1092"/>
      <c r="G37" s="1093"/>
      <c r="H37" s="1094"/>
      <c r="I37" s="1118">
        <f>H37*F37</f>
        <v>0</v>
      </c>
    </row>
    <row r="38" spans="1:9" x14ac:dyDescent="0.25">
      <c r="A38" s="148"/>
      <c r="B38" s="161"/>
      <c r="C38" s="150"/>
      <c r="D38" s="151"/>
      <c r="E38" s="1095"/>
      <c r="F38" s="1095"/>
      <c r="G38" s="149"/>
      <c r="H38" s="1226"/>
      <c r="I38" s="1119">
        <f t="shared" ref="I38:I43" si="2">H38*F38</f>
        <v>0</v>
      </c>
    </row>
    <row r="39" spans="1:9" x14ac:dyDescent="0.25">
      <c r="A39" s="148"/>
      <c r="B39" s="161"/>
      <c r="C39" s="150"/>
      <c r="D39" s="151"/>
      <c r="E39" s="1095"/>
      <c r="F39" s="1095"/>
      <c r="G39" s="149"/>
      <c r="H39" s="1226"/>
      <c r="I39" s="1119">
        <f t="shared" si="2"/>
        <v>0</v>
      </c>
    </row>
    <row r="40" spans="1:9" x14ac:dyDescent="0.25">
      <c r="A40" s="148"/>
      <c r="B40" s="161"/>
      <c r="C40" s="150"/>
      <c r="D40" s="151"/>
      <c r="E40" s="1095"/>
      <c r="F40" s="1095"/>
      <c r="G40" s="149"/>
      <c r="H40" s="1226"/>
      <c r="I40" s="1119">
        <f t="shared" si="2"/>
        <v>0</v>
      </c>
    </row>
    <row r="41" spans="1:9" x14ac:dyDescent="0.25">
      <c r="A41" s="148"/>
      <c r="B41" s="161"/>
      <c r="C41" s="150"/>
      <c r="D41" s="151"/>
      <c r="E41" s="1095"/>
      <c r="F41" s="1095"/>
      <c r="G41" s="149"/>
      <c r="H41" s="1226"/>
      <c r="I41" s="1119">
        <f t="shared" si="2"/>
        <v>0</v>
      </c>
    </row>
    <row r="42" spans="1:9" x14ac:dyDescent="0.25">
      <c r="A42" s="148"/>
      <c r="B42" s="161"/>
      <c r="C42" s="150"/>
      <c r="D42" s="151"/>
      <c r="E42" s="1095"/>
      <c r="F42" s="1095"/>
      <c r="G42" s="149"/>
      <c r="H42" s="1226"/>
      <c r="I42" s="1119">
        <f t="shared" si="2"/>
        <v>0</v>
      </c>
    </row>
    <row r="43" spans="1:9" x14ac:dyDescent="0.25">
      <c r="A43" s="148"/>
      <c r="B43" s="161"/>
      <c r="C43" s="150"/>
      <c r="D43" s="151"/>
      <c r="E43" s="1095"/>
      <c r="F43" s="1095"/>
      <c r="G43" s="149"/>
      <c r="H43" s="1226"/>
      <c r="I43" s="1119">
        <f t="shared" si="2"/>
        <v>0</v>
      </c>
    </row>
    <row r="44" spans="1:9" x14ac:dyDescent="0.25">
      <c r="A44" s="148"/>
      <c r="B44" s="161"/>
      <c r="C44" s="150"/>
      <c r="D44" s="151"/>
      <c r="E44" s="1095"/>
      <c r="F44" s="1095"/>
      <c r="G44" s="149"/>
      <c r="H44" s="1226"/>
      <c r="I44" s="1119">
        <f>H44*F44</f>
        <v>0</v>
      </c>
    </row>
    <row r="45" spans="1:9" x14ac:dyDescent="0.25">
      <c r="A45" s="148"/>
      <c r="B45" s="161"/>
      <c r="C45" s="150"/>
      <c r="D45" s="151"/>
      <c r="E45" s="1095"/>
      <c r="F45" s="1095"/>
      <c r="G45" s="149"/>
      <c r="H45" s="1226"/>
      <c r="I45" s="1119">
        <f>H45*F45</f>
        <v>0</v>
      </c>
    </row>
    <row r="46" spans="1:9" ht="15.6" thickBot="1" x14ac:dyDescent="0.3">
      <c r="A46" s="1096"/>
      <c r="B46" s="1097"/>
      <c r="C46" s="1098"/>
      <c r="D46" s="1099"/>
      <c r="E46" s="1100"/>
      <c r="F46" s="1100"/>
      <c r="G46" s="1101"/>
      <c r="H46" s="1244"/>
      <c r="I46" s="1120">
        <f>H46*F46</f>
        <v>0</v>
      </c>
    </row>
    <row r="47" spans="1:9" ht="15.6" thickBot="1" x14ac:dyDescent="0.3">
      <c r="A47" s="878"/>
      <c r="B47" s="879"/>
      <c r="C47" s="879"/>
      <c r="D47" s="879"/>
      <c r="E47" s="879"/>
      <c r="F47" s="879"/>
      <c r="G47" s="879"/>
      <c r="H47" s="1232" t="s">
        <v>642</v>
      </c>
      <c r="I47" s="1121">
        <f>SUM(I37:I46)</f>
        <v>0</v>
      </c>
    </row>
    <row r="48" spans="1:9" ht="16.2" thickTop="1" thickBot="1" x14ac:dyDescent="0.3">
      <c r="A48" s="175"/>
      <c r="B48" s="132"/>
      <c r="C48" s="132"/>
      <c r="D48" s="132"/>
      <c r="E48" s="132"/>
      <c r="F48" s="132"/>
      <c r="G48" s="132"/>
      <c r="H48" s="1233" t="s">
        <v>522</v>
      </c>
      <c r="I48" s="1146"/>
    </row>
    <row r="49" spans="1:9" ht="16.2" thickTop="1" thickBot="1" x14ac:dyDescent="0.3">
      <c r="A49" s="157"/>
      <c r="B49" s="60"/>
      <c r="C49" s="60"/>
      <c r="D49" s="60"/>
      <c r="E49" s="60"/>
      <c r="F49" s="60"/>
      <c r="G49" s="60"/>
      <c r="H49" s="172" t="s">
        <v>578</v>
      </c>
      <c r="I49" s="1194">
        <f>I17+IF(AND(I32&gt;0,I17&gt;0),0,I32)+I47</f>
        <v>0</v>
      </c>
    </row>
    <row r="50" spans="1:9" ht="16.2" thickTop="1" thickBot="1" x14ac:dyDescent="0.3">
      <c r="A50" s="175"/>
      <c r="B50" s="132"/>
      <c r="C50" s="132"/>
      <c r="D50" s="132"/>
      <c r="E50" s="132"/>
      <c r="F50" s="132"/>
      <c r="G50" s="132"/>
      <c r="H50" s="171" t="s">
        <v>522</v>
      </c>
      <c r="I50" s="1147">
        <f>I18+IF(AND(I33&gt;0,I18&gt;0),0,I33)+I48</f>
        <v>0</v>
      </c>
    </row>
    <row r="51" spans="1:9" ht="15.6" thickTop="1" x14ac:dyDescent="0.25">
      <c r="A51" s="157"/>
      <c r="B51" s="60"/>
      <c r="C51" s="60"/>
      <c r="D51" s="60"/>
      <c r="E51" s="60"/>
      <c r="F51" s="60"/>
      <c r="G51" s="60"/>
      <c r="H51" s="880"/>
      <c r="I51" s="1122"/>
    </row>
    <row r="52" spans="1:9" x14ac:dyDescent="0.25">
      <c r="A52" s="139" t="s">
        <v>579</v>
      </c>
      <c r="B52" s="1102"/>
      <c r="C52" s="140"/>
      <c r="D52" s="140"/>
      <c r="E52" s="140"/>
      <c r="F52" s="140"/>
      <c r="G52" s="140"/>
      <c r="H52" s="655"/>
      <c r="I52" s="653"/>
    </row>
    <row r="53" spans="1:9" ht="27.6" x14ac:dyDescent="0.25">
      <c r="A53" s="867" t="s">
        <v>520</v>
      </c>
      <c r="B53" s="1103" t="s">
        <v>4</v>
      </c>
      <c r="C53" s="639" t="s">
        <v>318</v>
      </c>
      <c r="D53" s="1104"/>
      <c r="E53" s="658" t="s">
        <v>75</v>
      </c>
      <c r="F53" s="658" t="s">
        <v>76</v>
      </c>
      <c r="G53" s="658" t="s">
        <v>77</v>
      </c>
      <c r="H53" s="984" t="s">
        <v>315</v>
      </c>
      <c r="I53" s="652" t="s">
        <v>43</v>
      </c>
    </row>
    <row r="54" spans="1:9" x14ac:dyDescent="0.25">
      <c r="A54" s="144"/>
      <c r="B54" s="861"/>
      <c r="C54" s="146"/>
      <c r="D54" s="168"/>
      <c r="E54" s="145"/>
      <c r="F54" s="145"/>
      <c r="G54" s="1246"/>
      <c r="H54" s="1225"/>
      <c r="I54" s="1123">
        <f>H54*G54</f>
        <v>0</v>
      </c>
    </row>
    <row r="55" spans="1:9" x14ac:dyDescent="0.25">
      <c r="A55" s="148"/>
      <c r="B55" s="161"/>
      <c r="C55" s="150"/>
      <c r="D55" s="169"/>
      <c r="E55" s="150"/>
      <c r="F55" s="149"/>
      <c r="G55" s="1247"/>
      <c r="H55" s="1226"/>
      <c r="I55" s="1123">
        <f t="shared" ref="I55:I63" si="3">H55*G55</f>
        <v>0</v>
      </c>
    </row>
    <row r="56" spans="1:9" x14ac:dyDescent="0.25">
      <c r="A56" s="148"/>
      <c r="B56" s="161"/>
      <c r="C56" s="150"/>
      <c r="D56" s="169"/>
      <c r="E56" s="150"/>
      <c r="F56" s="149"/>
      <c r="G56" s="1247"/>
      <c r="H56" s="1226"/>
      <c r="I56" s="1123">
        <f t="shared" si="3"/>
        <v>0</v>
      </c>
    </row>
    <row r="57" spans="1:9" x14ac:dyDescent="0.25">
      <c r="A57" s="148"/>
      <c r="B57" s="161"/>
      <c r="C57" s="150"/>
      <c r="D57" s="169"/>
      <c r="E57" s="150"/>
      <c r="F57" s="149"/>
      <c r="G57" s="1247"/>
      <c r="H57" s="1226"/>
      <c r="I57" s="1123">
        <f t="shared" si="3"/>
        <v>0</v>
      </c>
    </row>
    <row r="58" spans="1:9" x14ac:dyDescent="0.25">
      <c r="A58" s="148"/>
      <c r="B58" s="161"/>
      <c r="C58" s="150"/>
      <c r="D58" s="169"/>
      <c r="E58" s="150"/>
      <c r="F58" s="149"/>
      <c r="G58" s="1247"/>
      <c r="H58" s="1226"/>
      <c r="I58" s="1123">
        <f t="shared" si="3"/>
        <v>0</v>
      </c>
    </row>
    <row r="59" spans="1:9" x14ac:dyDescent="0.25">
      <c r="A59" s="148"/>
      <c r="B59" s="161"/>
      <c r="C59" s="150"/>
      <c r="D59" s="169"/>
      <c r="E59" s="150"/>
      <c r="F59" s="149"/>
      <c r="G59" s="1247"/>
      <c r="H59" s="1226"/>
      <c r="I59" s="1123">
        <f t="shared" si="3"/>
        <v>0</v>
      </c>
    </row>
    <row r="60" spans="1:9" x14ac:dyDescent="0.25">
      <c r="A60" s="148"/>
      <c r="B60" s="161"/>
      <c r="C60" s="150"/>
      <c r="D60" s="169"/>
      <c r="E60" s="150"/>
      <c r="F60" s="149"/>
      <c r="G60" s="1247"/>
      <c r="H60" s="1226"/>
      <c r="I60" s="1123">
        <f t="shared" si="3"/>
        <v>0</v>
      </c>
    </row>
    <row r="61" spans="1:9" x14ac:dyDescent="0.25">
      <c r="A61" s="148"/>
      <c r="B61" s="161"/>
      <c r="C61" s="150"/>
      <c r="D61" s="169"/>
      <c r="E61" s="150"/>
      <c r="F61" s="149"/>
      <c r="G61" s="1247"/>
      <c r="H61" s="1226"/>
      <c r="I61" s="1123">
        <f t="shared" si="3"/>
        <v>0</v>
      </c>
    </row>
    <row r="62" spans="1:9" x14ac:dyDescent="0.25">
      <c r="A62" s="148"/>
      <c r="B62" s="161"/>
      <c r="C62" s="150"/>
      <c r="D62" s="169"/>
      <c r="E62" s="150"/>
      <c r="F62" s="149"/>
      <c r="G62" s="1247"/>
      <c r="H62" s="1226"/>
      <c r="I62" s="1123">
        <f t="shared" si="3"/>
        <v>0</v>
      </c>
    </row>
    <row r="63" spans="1:9" ht="15.6" thickBot="1" x14ac:dyDescent="0.3">
      <c r="A63" s="1085"/>
      <c r="B63" s="1086"/>
      <c r="C63" s="165"/>
      <c r="D63" s="1105"/>
      <c r="E63" s="165"/>
      <c r="F63" s="1101"/>
      <c r="G63" s="1248"/>
      <c r="H63" s="1230"/>
      <c r="I63" s="1123">
        <f t="shared" si="3"/>
        <v>0</v>
      </c>
    </row>
    <row r="64" spans="1:9" ht="15.6" thickBot="1" x14ac:dyDescent="0.3">
      <c r="A64" s="878"/>
      <c r="B64" s="879"/>
      <c r="C64" s="879"/>
      <c r="D64" s="879"/>
      <c r="E64" s="879"/>
      <c r="F64" s="1106"/>
      <c r="G64" s="879"/>
      <c r="H64" s="1232" t="s">
        <v>580</v>
      </c>
      <c r="I64" s="926">
        <f>SUM(I54:I63)</f>
        <v>0</v>
      </c>
    </row>
    <row r="65" spans="1:9" ht="16.2" thickTop="1" thickBot="1" x14ac:dyDescent="0.3">
      <c r="A65" s="163"/>
      <c r="B65" s="164"/>
      <c r="C65" s="164"/>
      <c r="D65" s="164"/>
      <c r="E65" s="164"/>
      <c r="F65" s="170"/>
      <c r="G65" s="164"/>
      <c r="H65" s="1245" t="s">
        <v>522</v>
      </c>
      <c r="I65" s="1148"/>
    </row>
    <row r="66" spans="1:9" x14ac:dyDescent="0.25">
      <c r="A66" s="1108"/>
      <c r="B66" s="1109"/>
      <c r="C66" s="1109"/>
      <c r="D66" s="1109"/>
      <c r="E66" s="1109"/>
      <c r="F66" s="1109"/>
      <c r="G66" s="1109"/>
      <c r="H66" s="1110" t="s">
        <v>581</v>
      </c>
      <c r="I66" s="1071">
        <f>I49+I64</f>
        <v>0</v>
      </c>
    </row>
    <row r="67" spans="1:9" ht="15.6" thickBot="1" x14ac:dyDescent="0.3">
      <c r="A67" s="173"/>
      <c r="B67" s="171"/>
      <c r="C67" s="171"/>
      <c r="D67" s="171"/>
      <c r="E67" s="171"/>
      <c r="F67" s="171"/>
      <c r="G67" s="171"/>
      <c r="H67" s="1111" t="s">
        <v>522</v>
      </c>
      <c r="I67" s="1112">
        <f>I50+I65</f>
        <v>0</v>
      </c>
    </row>
    <row r="68" spans="1:9" ht="15.6" thickTop="1" x14ac:dyDescent="0.25"/>
  </sheetData>
  <mergeCells count="1">
    <mergeCell ref="A3:C3"/>
  </mergeCells>
  <phoneticPr fontId="54" type="noConversion"/>
  <printOptions horizontalCentered="1"/>
  <pageMargins left="0.55118110236220474" right="0.55118110236220474" top="0.78740157480314965" bottom="0.78740157480314965" header="0.51181102362204722" footer="0.51181102362204722"/>
  <pageSetup paperSize="9" scale="68" orientation="portrait" r:id="rId1"/>
  <headerFooter alignWithMargins="0">
    <oddFooter>&amp;L&amp;8&amp;F Rev 1 of 310805&amp;C&amp;8&amp;A&amp;R&amp;8&amp;D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3"/>
  </sheetPr>
  <dimension ref="A1:J26"/>
  <sheetViews>
    <sheetView zoomScaleNormal="100" zoomScaleSheetLayoutView="100" workbookViewId="0">
      <selection activeCell="C11" sqref="C11:E11"/>
    </sheetView>
  </sheetViews>
  <sheetFormatPr defaultRowHeight="15" x14ac:dyDescent="0.25"/>
  <cols>
    <col min="1" max="1" width="6.75" customWidth="1"/>
    <col min="2" max="2" width="9.75" customWidth="1"/>
    <col min="5" max="5" width="10" customWidth="1"/>
    <col min="9" max="9" width="9" bestFit="1" customWidth="1"/>
    <col min="10" max="10" width="10.33203125" customWidth="1"/>
  </cols>
  <sheetData>
    <row r="1" spans="1:10" ht="18.600000000000001" thickTop="1" thickBot="1" x14ac:dyDescent="0.3">
      <c r="A1" s="856" t="s">
        <v>79</v>
      </c>
      <c r="B1" s="246"/>
      <c r="C1" s="246"/>
      <c r="D1" s="246"/>
      <c r="E1" s="246"/>
      <c r="F1" s="246"/>
      <c r="G1" s="246"/>
      <c r="H1" s="246"/>
      <c r="I1" s="246"/>
      <c r="J1" s="1182"/>
    </row>
    <row r="2" spans="1:10" ht="16.2" thickTop="1" x14ac:dyDescent="0.25">
      <c r="A2" s="288" t="s">
        <v>158</v>
      </c>
      <c r="B2" s="60"/>
      <c r="C2" s="60"/>
      <c r="D2" s="60"/>
      <c r="E2" s="60"/>
      <c r="F2" s="60"/>
      <c r="G2" s="60"/>
      <c r="H2" s="60"/>
      <c r="I2" s="60"/>
      <c r="J2" s="601"/>
    </row>
    <row r="3" spans="1:10" ht="15.6" x14ac:dyDescent="0.25">
      <c r="A3" s="1059"/>
      <c r="C3" s="1169" t="s">
        <v>30</v>
      </c>
      <c r="D3" s="857">
        <f>'Input Data'!D29</f>
        <v>0</v>
      </c>
      <c r="E3" s="60"/>
      <c r="F3" s="60"/>
      <c r="G3" s="174" t="s">
        <v>212</v>
      </c>
      <c r="H3" s="1170">
        <f>'Input Data'!D7</f>
        <v>0</v>
      </c>
      <c r="I3" s="600"/>
      <c r="J3" s="1181"/>
    </row>
    <row r="4" spans="1:10" ht="15.6" thickBot="1" x14ac:dyDescent="0.3">
      <c r="A4" s="175"/>
      <c r="B4" s="132"/>
      <c r="C4" s="132"/>
      <c r="D4" s="132"/>
      <c r="E4" s="132"/>
      <c r="F4" s="132"/>
      <c r="G4" s="132"/>
      <c r="H4" s="132"/>
      <c r="I4" s="132"/>
      <c r="J4" s="904"/>
    </row>
    <row r="5" spans="1:10" ht="16.2" thickTop="1" thickBot="1" x14ac:dyDescent="0.3">
      <c r="A5" s="175"/>
      <c r="B5" s="132"/>
      <c r="C5" s="132"/>
      <c r="D5" s="132"/>
      <c r="E5" s="132"/>
      <c r="F5" s="132"/>
      <c r="G5" s="132"/>
      <c r="H5" s="132"/>
      <c r="I5" s="132"/>
      <c r="J5" s="135"/>
    </row>
    <row r="6" spans="1:10" ht="15.6" thickTop="1" x14ac:dyDescent="0.25">
      <c r="A6" s="1215"/>
      <c r="B6" s="60"/>
      <c r="C6" s="60"/>
      <c r="D6" s="60"/>
      <c r="E6" s="60"/>
      <c r="F6" s="60"/>
      <c r="G6" s="60"/>
      <c r="H6" s="60"/>
      <c r="I6" s="60"/>
      <c r="J6" s="27"/>
    </row>
    <row r="7" spans="1:10" x14ac:dyDescent="0.25">
      <c r="A7" s="176" t="s">
        <v>80</v>
      </c>
      <c r="B7" s="868"/>
      <c r="C7" s="140"/>
      <c r="D7" s="140"/>
      <c r="E7" s="140"/>
      <c r="F7" s="140"/>
      <c r="G7" s="140"/>
      <c r="H7" s="140"/>
      <c r="I7" s="140"/>
      <c r="J7" s="141"/>
    </row>
    <row r="8" spans="1:10" ht="31.5" customHeight="1" x14ac:dyDescent="0.25">
      <c r="A8" s="867" t="s">
        <v>520</v>
      </c>
      <c r="B8" s="1172" t="s">
        <v>4</v>
      </c>
      <c r="C8" s="2046" t="s">
        <v>597</v>
      </c>
      <c r="D8" s="2047"/>
      <c r="E8" s="2048"/>
      <c r="F8" s="1173" t="s">
        <v>81</v>
      </c>
      <c r="G8" s="2046" t="s">
        <v>318</v>
      </c>
      <c r="H8" s="2047"/>
      <c r="I8" s="2048"/>
      <c r="J8" s="1174" t="s">
        <v>43</v>
      </c>
    </row>
    <row r="9" spans="1:10" x14ac:dyDescent="0.25">
      <c r="A9" s="177"/>
      <c r="B9" s="1175"/>
      <c r="C9" s="2037"/>
      <c r="D9" s="2049"/>
      <c r="E9" s="2038"/>
      <c r="F9" s="178"/>
      <c r="G9" s="2037"/>
      <c r="H9" s="2049"/>
      <c r="I9" s="2038"/>
      <c r="J9" s="1234"/>
    </row>
    <row r="10" spans="1:10" x14ac:dyDescent="0.25">
      <c r="A10" s="148"/>
      <c r="B10" s="1168"/>
      <c r="C10" s="2039"/>
      <c r="D10" s="2045"/>
      <c r="E10" s="2040"/>
      <c r="F10" s="149"/>
      <c r="G10" s="2039"/>
      <c r="H10" s="2045"/>
      <c r="I10" s="2040"/>
      <c r="J10" s="179"/>
    </row>
    <row r="11" spans="1:10" x14ac:dyDescent="0.25">
      <c r="A11" s="148"/>
      <c r="B11" s="1168"/>
      <c r="C11" s="2039"/>
      <c r="D11" s="2045"/>
      <c r="E11" s="2040"/>
      <c r="F11" s="149"/>
      <c r="G11" s="2039"/>
      <c r="H11" s="2045"/>
      <c r="I11" s="2040"/>
      <c r="J11" s="179"/>
    </row>
    <row r="12" spans="1:10" x14ac:dyDescent="0.25">
      <c r="A12" s="148"/>
      <c r="B12" s="1168"/>
      <c r="C12" s="2039"/>
      <c r="D12" s="2045"/>
      <c r="E12" s="2040"/>
      <c r="F12" s="149"/>
      <c r="G12" s="2039"/>
      <c r="H12" s="2045"/>
      <c r="I12" s="2040"/>
      <c r="J12" s="179"/>
    </row>
    <row r="13" spans="1:10" x14ac:dyDescent="0.25">
      <c r="A13" s="148"/>
      <c r="B13" s="1168"/>
      <c r="C13" s="2039"/>
      <c r="D13" s="2045"/>
      <c r="E13" s="2040"/>
      <c r="F13" s="149"/>
      <c r="G13" s="2039"/>
      <c r="H13" s="2045"/>
      <c r="I13" s="2040"/>
      <c r="J13" s="179"/>
    </row>
    <row r="14" spans="1:10" x14ac:dyDescent="0.25">
      <c r="A14" s="148"/>
      <c r="B14" s="1168"/>
      <c r="C14" s="2039"/>
      <c r="D14" s="2045"/>
      <c r="E14" s="2040"/>
      <c r="F14" s="149"/>
      <c r="G14" s="2039"/>
      <c r="H14" s="2045"/>
      <c r="I14" s="2040"/>
      <c r="J14" s="179"/>
    </row>
    <row r="15" spans="1:10" x14ac:dyDescent="0.25">
      <c r="A15" s="148"/>
      <c r="B15" s="1168"/>
      <c r="C15" s="2039"/>
      <c r="D15" s="2045"/>
      <c r="E15" s="2040"/>
      <c r="F15" s="149"/>
      <c r="G15" s="2039"/>
      <c r="H15" s="2045"/>
      <c r="I15" s="2040"/>
      <c r="J15" s="179"/>
    </row>
    <row r="16" spans="1:10" x14ac:dyDescent="0.25">
      <c r="A16" s="148"/>
      <c r="B16" s="1168"/>
      <c r="C16" s="2039"/>
      <c r="D16" s="2045"/>
      <c r="E16" s="2040"/>
      <c r="F16" s="149"/>
      <c r="G16" s="2039"/>
      <c r="H16" s="2045"/>
      <c r="I16" s="2040"/>
      <c r="J16" s="179"/>
    </row>
    <row r="17" spans="1:10" x14ac:dyDescent="0.25">
      <c r="A17" s="148"/>
      <c r="B17" s="1168"/>
      <c r="C17" s="2039"/>
      <c r="D17" s="2045"/>
      <c r="E17" s="2040"/>
      <c r="F17" s="149"/>
      <c r="G17" s="2039"/>
      <c r="H17" s="2045"/>
      <c r="I17" s="2040"/>
      <c r="J17" s="179"/>
    </row>
    <row r="18" spans="1:10" ht="15.6" thickBot="1" x14ac:dyDescent="0.3">
      <c r="A18" s="180"/>
      <c r="B18" s="1171"/>
      <c r="C18" s="2041"/>
      <c r="D18" s="2050"/>
      <c r="E18" s="2042"/>
      <c r="F18" s="181"/>
      <c r="G18" s="2041"/>
      <c r="H18" s="2050"/>
      <c r="I18" s="2042"/>
      <c r="J18" s="1235"/>
    </row>
    <row r="19" spans="1:10" x14ac:dyDescent="0.25">
      <c r="A19" s="878"/>
      <c r="B19" s="879"/>
      <c r="C19" s="879"/>
      <c r="D19" s="879"/>
      <c r="E19" s="879"/>
      <c r="F19" s="879"/>
      <c r="G19" s="205"/>
      <c r="H19" s="205"/>
      <c r="I19" s="156" t="s">
        <v>596</v>
      </c>
      <c r="J19" s="886">
        <f>SUM(J9:J18)</f>
        <v>0</v>
      </c>
    </row>
    <row r="20" spans="1:10" ht="15.6" thickBot="1" x14ac:dyDescent="0.3">
      <c r="A20" s="157"/>
      <c r="B20" s="60"/>
      <c r="C20" s="60"/>
      <c r="D20" s="60"/>
      <c r="E20" s="60"/>
      <c r="F20" s="60"/>
      <c r="G20" s="60"/>
      <c r="H20" s="60"/>
      <c r="I20" s="1149" t="s">
        <v>306</v>
      </c>
      <c r="J20" s="1236"/>
    </row>
    <row r="21" spans="1:10" ht="15.6" thickBot="1" x14ac:dyDescent="0.3">
      <c r="A21" s="157"/>
      <c r="B21" s="60"/>
      <c r="C21" s="60"/>
      <c r="D21" s="60"/>
      <c r="E21" s="60"/>
      <c r="F21" s="60"/>
      <c r="G21" s="60"/>
      <c r="H21" s="60"/>
      <c r="I21" s="1107" t="s">
        <v>307</v>
      </c>
      <c r="J21" s="1237">
        <f>J19-J20</f>
        <v>0</v>
      </c>
    </row>
    <row r="22" spans="1:10" x14ac:dyDescent="0.25">
      <c r="A22" s="1176" t="s">
        <v>84</v>
      </c>
      <c r="B22" s="1177"/>
      <c r="C22" s="1154"/>
      <c r="D22" s="1154"/>
      <c r="E22" s="1154"/>
      <c r="F22" s="1154"/>
      <c r="G22" s="1154"/>
      <c r="H22" s="1154"/>
      <c r="I22" s="1154"/>
      <c r="J22" s="1178"/>
    </row>
    <row r="23" spans="1:10" ht="27" customHeight="1" x14ac:dyDescent="0.25">
      <c r="A23" s="136" t="s">
        <v>85</v>
      </c>
      <c r="B23" s="1167"/>
      <c r="C23" s="60" t="s">
        <v>82</v>
      </c>
      <c r="D23" s="60"/>
      <c r="E23" s="1167" t="s">
        <v>86</v>
      </c>
      <c r="F23" s="60" t="s">
        <v>83</v>
      </c>
      <c r="G23" s="1167"/>
      <c r="H23" s="182" t="s">
        <v>87</v>
      </c>
      <c r="I23" s="60"/>
      <c r="J23" s="1179"/>
    </row>
    <row r="24" spans="1:10" x14ac:dyDescent="0.25">
      <c r="A24" s="136" t="s">
        <v>88</v>
      </c>
      <c r="B24" s="1167"/>
      <c r="C24" s="60" t="s">
        <v>89</v>
      </c>
      <c r="D24" s="60"/>
      <c r="E24" s="1167" t="s">
        <v>90</v>
      </c>
      <c r="F24" s="60" t="s">
        <v>91</v>
      </c>
      <c r="G24" s="1167"/>
      <c r="H24" s="1167" t="s">
        <v>92</v>
      </c>
      <c r="I24" s="60"/>
      <c r="J24" s="1179"/>
    </row>
    <row r="25" spans="1:10" ht="15.6" thickBot="1" x14ac:dyDescent="0.3">
      <c r="A25" s="175"/>
      <c r="B25" s="132"/>
      <c r="C25" s="132"/>
      <c r="D25" s="132"/>
      <c r="E25" s="132"/>
      <c r="F25" s="132"/>
      <c r="G25" s="132"/>
      <c r="H25" s="132"/>
      <c r="I25" s="132"/>
      <c r="J25" s="1180"/>
    </row>
    <row r="26" spans="1:10" ht="15.6" thickTop="1" x14ac:dyDescent="0.25"/>
  </sheetData>
  <mergeCells count="22">
    <mergeCell ref="C17:E17"/>
    <mergeCell ref="G17:I17"/>
    <mergeCell ref="C18:E18"/>
    <mergeCell ref="G18:I18"/>
    <mergeCell ref="C14:E14"/>
    <mergeCell ref="G14:I14"/>
    <mergeCell ref="C15:E15"/>
    <mergeCell ref="G15:I15"/>
    <mergeCell ref="C16:E16"/>
    <mergeCell ref="G16:I16"/>
    <mergeCell ref="C8:E8"/>
    <mergeCell ref="G8:I8"/>
    <mergeCell ref="C9:E9"/>
    <mergeCell ref="G9:I9"/>
    <mergeCell ref="C10:E10"/>
    <mergeCell ref="G10:I10"/>
    <mergeCell ref="C11:E11"/>
    <mergeCell ref="G11:I11"/>
    <mergeCell ref="C12:E12"/>
    <mergeCell ref="G12:I12"/>
    <mergeCell ref="C13:E13"/>
    <mergeCell ref="G13:I13"/>
  </mergeCells>
  <phoneticPr fontId="54" type="noConversion"/>
  <printOptions horizontalCentered="1"/>
  <pageMargins left="0.55118110236220474" right="0.55118110236220474" top="0.78740157480314965" bottom="0.78740157480314965" header="0.51181102362204722" footer="0.51181102362204722"/>
  <pageSetup paperSize="9" scale="93" orientation="portrait" horizontalDpi="300" verticalDpi="300" r:id="rId1"/>
  <headerFooter alignWithMargins="0">
    <oddFooter>&amp;L&amp;8&amp;F Rev 1 of 310805&amp;C&amp;8&amp;A&amp;R&amp;8&amp;D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3"/>
  </sheetPr>
  <dimension ref="A1:I114"/>
  <sheetViews>
    <sheetView tabSelected="1" zoomScaleNormal="100" zoomScaleSheetLayoutView="70" workbookViewId="0">
      <selection activeCell="E4" sqref="E4:H4"/>
    </sheetView>
  </sheetViews>
  <sheetFormatPr defaultRowHeight="15" x14ac:dyDescent="0.25"/>
  <cols>
    <col min="1" max="1" width="16.33203125" customWidth="1"/>
    <col min="2" max="2" width="3.9140625" customWidth="1"/>
    <col min="3" max="3" width="7.6640625" customWidth="1"/>
    <col min="4" max="4" width="27" customWidth="1"/>
    <col min="5" max="5" width="18.6640625" customWidth="1"/>
    <col min="6" max="6" width="17.58203125" customWidth="1"/>
    <col min="7" max="7" width="17.25" customWidth="1"/>
    <col min="8" max="8" width="18.25" customWidth="1"/>
    <col min="9" max="9" width="2.9140625" customWidth="1"/>
  </cols>
  <sheetData>
    <row r="1" spans="1:9" ht="51.75" customHeight="1" thickTop="1" thickBot="1" x14ac:dyDescent="0.3">
      <c r="A1" s="1653" t="s">
        <v>507</v>
      </c>
      <c r="B1" s="1654"/>
      <c r="C1" s="1654"/>
      <c r="D1" s="1654"/>
      <c r="E1" s="1654"/>
      <c r="F1" s="1654"/>
      <c r="G1" s="1654"/>
      <c r="H1" s="1655"/>
      <c r="I1" s="3"/>
    </row>
    <row r="2" spans="1:9" ht="24.75" customHeight="1" thickTop="1" x14ac:dyDescent="0.25">
      <c r="A2" s="1702"/>
      <c r="B2" s="1703"/>
      <c r="C2" s="1703"/>
      <c r="D2" s="1703"/>
      <c r="E2" s="1688" t="s">
        <v>131</v>
      </c>
      <c r="F2" s="1689"/>
      <c r="G2" s="1689"/>
      <c r="H2" s="1690"/>
      <c r="I2" s="3"/>
    </row>
    <row r="3" spans="1:9" ht="27" customHeight="1" x14ac:dyDescent="0.25">
      <c r="A3" s="1704"/>
      <c r="B3" s="1703"/>
      <c r="C3" s="1703"/>
      <c r="D3" s="1703"/>
      <c r="E3" s="1691"/>
      <c r="F3" s="1691"/>
      <c r="G3" s="1691"/>
      <c r="H3" s="1690"/>
      <c r="I3" s="2"/>
    </row>
    <row r="4" spans="1:9" ht="27.75" customHeight="1" x14ac:dyDescent="0.25">
      <c r="A4" s="157"/>
      <c r="B4" s="470"/>
      <c r="C4" s="470"/>
      <c r="D4" s="470"/>
      <c r="E4" s="1656" t="str">
        <f>CONCATENATE(D10,": ",D21," NDPW FEES")</f>
        <v>MULTIDISCIPLINARY PROJECT: 2024 NDPW FEES</v>
      </c>
      <c r="F4" s="1657"/>
      <c r="G4" s="1657"/>
      <c r="H4" s="1658"/>
      <c r="I4" s="2"/>
    </row>
    <row r="5" spans="1:9" ht="15" customHeight="1" thickBot="1" x14ac:dyDescent="0.3">
      <c r="A5" s="469"/>
      <c r="B5" s="470"/>
      <c r="C5" s="470"/>
      <c r="D5" s="470"/>
      <c r="E5" s="1330" t="s">
        <v>629</v>
      </c>
      <c r="F5" s="460"/>
      <c r="G5" s="460"/>
      <c r="H5" s="1292" t="s">
        <v>649</v>
      </c>
      <c r="I5" s="2"/>
    </row>
    <row r="6" spans="1:9" ht="16.2" thickTop="1" x14ac:dyDescent="0.25">
      <c r="A6" s="395"/>
      <c r="B6" s="382"/>
      <c r="C6" s="383" t="s">
        <v>204</v>
      </c>
      <c r="D6" s="536"/>
      <c r="E6" s="539"/>
      <c r="F6" s="537" t="s">
        <v>203</v>
      </c>
      <c r="G6" s="1709"/>
      <c r="H6" s="1710"/>
      <c r="I6" s="3"/>
    </row>
    <row r="7" spans="1:9" x14ac:dyDescent="0.25">
      <c r="A7" s="396"/>
      <c r="B7" s="31"/>
      <c r="C7" s="384" t="s">
        <v>210</v>
      </c>
      <c r="D7" s="538"/>
      <c r="E7" s="539"/>
      <c r="F7" s="424" t="s">
        <v>175</v>
      </c>
      <c r="G7" s="535"/>
      <c r="H7" s="540"/>
      <c r="I7" s="2"/>
    </row>
    <row r="8" spans="1:9" x14ac:dyDescent="0.25">
      <c r="A8" s="396"/>
      <c r="B8" s="31"/>
      <c r="C8" s="384" t="s">
        <v>219</v>
      </c>
      <c r="D8" s="541"/>
      <c r="E8" s="539"/>
      <c r="F8" s="188" t="s">
        <v>195</v>
      </c>
      <c r="G8" s="535"/>
      <c r="H8" s="540"/>
      <c r="I8" s="2"/>
    </row>
    <row r="9" spans="1:9" x14ac:dyDescent="0.25">
      <c r="A9" s="396"/>
      <c r="B9" s="31"/>
      <c r="C9" s="384" t="s">
        <v>165</v>
      </c>
      <c r="D9" s="542"/>
      <c r="E9" s="539"/>
      <c r="F9" s="393" t="s">
        <v>186</v>
      </c>
      <c r="G9" s="1329"/>
      <c r="H9" s="543"/>
      <c r="I9" s="2"/>
    </row>
    <row r="10" spans="1:9" ht="15.75" customHeight="1" x14ac:dyDescent="0.25">
      <c r="A10" s="396"/>
      <c r="B10" s="31"/>
      <c r="C10" s="247" t="s">
        <v>99</v>
      </c>
      <c r="D10" s="466" t="s">
        <v>336</v>
      </c>
      <c r="E10" s="467" t="str">
        <f>IF(D10="MULTIDISCIPLINARY PROJECT","B","E")</f>
        <v>B</v>
      </c>
      <c r="F10" s="360" t="s">
        <v>185</v>
      </c>
      <c r="G10" s="1680"/>
      <c r="H10" s="1681"/>
      <c r="I10" s="2"/>
    </row>
    <row r="11" spans="1:9" ht="15.75" customHeight="1" x14ac:dyDescent="0.25">
      <c r="A11" s="674"/>
      <c r="B11" s="675"/>
      <c r="C11" s="683" t="s">
        <v>329</v>
      </c>
      <c r="D11" s="684" t="s">
        <v>598</v>
      </c>
      <c r="E11" s="685" t="str">
        <f>IF($D$11="Yes", "NO OF DAYS","")</f>
        <v/>
      </c>
      <c r="F11" s="686">
        <v>1</v>
      </c>
      <c r="G11" s="687" t="str">
        <f>IF($D$11="Yes", "RATE","")</f>
        <v/>
      </c>
      <c r="H11" s="688"/>
      <c r="I11" s="2"/>
    </row>
    <row r="12" spans="1:9" ht="15.6" thickBot="1" x14ac:dyDescent="0.3">
      <c r="A12" s="671"/>
      <c r="B12" s="672"/>
      <c r="C12" s="673" t="s">
        <v>96</v>
      </c>
      <c r="D12" s="1721"/>
      <c r="E12" s="1723"/>
      <c r="F12" s="1723"/>
      <c r="G12" s="1723"/>
      <c r="H12" s="1724"/>
      <c r="I12" s="2"/>
    </row>
    <row r="13" spans="1:9" ht="15.6" thickTop="1" x14ac:dyDescent="0.25">
      <c r="A13" s="668"/>
      <c r="B13" s="669"/>
      <c r="C13" s="670" t="s">
        <v>213</v>
      </c>
      <c r="D13" s="1685"/>
      <c r="E13" s="1686"/>
      <c r="F13" s="1686"/>
      <c r="G13" s="1686"/>
      <c r="H13" s="1687"/>
      <c r="I13" s="2"/>
    </row>
    <row r="14" spans="1:9" ht="18" customHeight="1" x14ac:dyDescent="0.25">
      <c r="A14" s="396"/>
      <c r="B14" s="31"/>
      <c r="C14" s="384" t="s">
        <v>133</v>
      </c>
      <c r="D14" s="1714"/>
      <c r="E14" s="1715"/>
      <c r="F14" s="1715"/>
      <c r="G14" s="544" t="s">
        <v>190</v>
      </c>
      <c r="H14" s="545"/>
      <c r="I14" s="2"/>
    </row>
    <row r="15" spans="1:9" ht="18" customHeight="1" x14ac:dyDescent="0.25">
      <c r="A15" s="396"/>
      <c r="B15" s="31"/>
      <c r="C15" s="384" t="s">
        <v>255</v>
      </c>
      <c r="D15" s="1707"/>
      <c r="E15" s="1708"/>
      <c r="F15" s="1708"/>
      <c r="G15" s="544" t="s">
        <v>190</v>
      </c>
      <c r="H15" s="546"/>
      <c r="I15" s="2"/>
    </row>
    <row r="16" spans="1:9" ht="17.25" customHeight="1" x14ac:dyDescent="0.25">
      <c r="A16" s="396"/>
      <c r="B16" s="30"/>
      <c r="C16" s="384" t="s">
        <v>129</v>
      </c>
      <c r="D16" s="1213"/>
      <c r="E16" s="547" t="s">
        <v>191</v>
      </c>
      <c r="F16" s="356"/>
      <c r="G16" s="548" t="s">
        <v>300</v>
      </c>
      <c r="H16" s="397"/>
      <c r="I16" s="2"/>
    </row>
    <row r="17" spans="1:9" ht="17.25" customHeight="1" thickBot="1" x14ac:dyDescent="0.3">
      <c r="A17" s="396"/>
      <c r="B17" s="30"/>
      <c r="C17" s="384" t="s">
        <v>185</v>
      </c>
      <c r="D17" s="1705"/>
      <c r="E17" s="1706"/>
      <c r="F17" s="549"/>
      <c r="G17" s="188"/>
      <c r="H17" s="550"/>
      <c r="I17" s="2"/>
    </row>
    <row r="18" spans="1:9" ht="15.6" thickTop="1" x14ac:dyDescent="0.25">
      <c r="A18" s="396"/>
      <c r="B18" s="31"/>
      <c r="C18" s="384" t="s">
        <v>93</v>
      </c>
      <c r="D18" s="392"/>
      <c r="E18" s="532">
        <f>IF(D18="none", "none",1)</f>
        <v>1</v>
      </c>
      <c r="F18" s="494"/>
      <c r="G18" s="1696" t="s">
        <v>205</v>
      </c>
      <c r="H18" s="1697"/>
      <c r="I18" s="3"/>
    </row>
    <row r="19" spans="1:9" x14ac:dyDescent="0.25">
      <c r="A19" s="396"/>
      <c r="B19" s="31"/>
      <c r="C19" s="384" t="s">
        <v>126</v>
      </c>
      <c r="D19" s="391"/>
      <c r="E19" s="531" t="str">
        <f>IF(D19="","&lt;--ERROR","")</f>
        <v>&lt;--ERROR</v>
      </c>
      <c r="F19" s="495" t="s">
        <v>174</v>
      </c>
      <c r="G19" s="1698"/>
      <c r="H19" s="1699"/>
      <c r="I19" s="3"/>
    </row>
    <row r="20" spans="1:9" ht="15.6" x14ac:dyDescent="0.25">
      <c r="A20" s="396"/>
      <c r="B20" s="385"/>
      <c r="C20" s="384" t="s">
        <v>28</v>
      </c>
      <c r="D20" s="464"/>
      <c r="E20" s="465"/>
      <c r="F20" s="496"/>
      <c r="G20" s="1700"/>
      <c r="H20" s="1701"/>
      <c r="I20" s="3"/>
    </row>
    <row r="21" spans="1:9" ht="15.6" x14ac:dyDescent="0.25">
      <c r="A21" s="398"/>
      <c r="B21" s="386"/>
      <c r="C21" s="387" t="s">
        <v>130</v>
      </c>
      <c r="D21" s="533">
        <v>2024</v>
      </c>
      <c r="E21" s="762" t="b">
        <f>IF(D21=2010,0,IF(D21=2011,1,IF(D21=2012,2)))</f>
        <v>0</v>
      </c>
      <c r="F21" s="374" t="s">
        <v>170</v>
      </c>
      <c r="G21" s="1673"/>
      <c r="H21" s="1674"/>
      <c r="I21" s="3"/>
    </row>
    <row r="22" spans="1:9" ht="27" customHeight="1" x14ac:dyDescent="0.25">
      <c r="A22" s="1665" t="s">
        <v>648</v>
      </c>
      <c r="B22" s="1666"/>
      <c r="C22" s="1666"/>
      <c r="D22" s="1666"/>
      <c r="E22" s="1667"/>
      <c r="F22" s="380" t="s">
        <v>171</v>
      </c>
      <c r="G22" s="1673"/>
      <c r="H22" s="1674"/>
      <c r="I22" s="3"/>
    </row>
    <row r="23" spans="1:9" x14ac:dyDescent="0.25">
      <c r="A23" s="1668"/>
      <c r="B23" s="1669"/>
      <c r="C23" s="1669"/>
      <c r="D23" s="1669"/>
      <c r="E23" s="1670"/>
      <c r="F23" s="380" t="s">
        <v>172</v>
      </c>
      <c r="G23" s="1676"/>
      <c r="H23" s="1674"/>
      <c r="I23" s="3"/>
    </row>
    <row r="24" spans="1:9" x14ac:dyDescent="0.25">
      <c r="A24" s="1668"/>
      <c r="B24" s="1669"/>
      <c r="C24" s="1669"/>
      <c r="D24" s="1669"/>
      <c r="E24" s="1670"/>
      <c r="F24" s="380" t="s">
        <v>93</v>
      </c>
      <c r="G24" s="1671" t="s">
        <v>285</v>
      </c>
      <c r="H24" s="1672"/>
      <c r="I24" s="3"/>
    </row>
    <row r="25" spans="1:9" ht="19.5" customHeight="1" x14ac:dyDescent="0.25">
      <c r="A25" s="1668"/>
      <c r="B25" s="1669"/>
      <c r="C25" s="1669"/>
      <c r="D25" s="1669"/>
      <c r="E25" s="1670"/>
      <c r="F25" s="380" t="s">
        <v>254</v>
      </c>
      <c r="G25" s="1673"/>
      <c r="H25" s="1674"/>
      <c r="I25" s="3"/>
    </row>
    <row r="26" spans="1:9" ht="15.6" x14ac:dyDescent="0.25">
      <c r="A26" s="287" t="s">
        <v>29</v>
      </c>
      <c r="B26" s="245"/>
      <c r="C26" s="29"/>
      <c r="D26" s="497" t="str">
        <f>IF(H39&lt;H47,"PERCENTAGE BASED FEES","TIME BASED FEES")</f>
        <v>PERCENTAGE BASED FEES</v>
      </c>
      <c r="E26" s="24"/>
      <c r="F26" s="375" t="s">
        <v>189</v>
      </c>
      <c r="G26" s="1673"/>
      <c r="H26" s="1674"/>
      <c r="I26" s="3"/>
    </row>
    <row r="27" spans="1:9" ht="17.399999999999999" x14ac:dyDescent="0.25">
      <c r="A27" s="237" t="s">
        <v>161</v>
      </c>
      <c r="B27" s="238"/>
      <c r="C27" s="239"/>
      <c r="D27" s="1624">
        <v>100</v>
      </c>
      <c r="E27" s="24" t="s">
        <v>220</v>
      </c>
      <c r="F27" s="375" t="s">
        <v>188</v>
      </c>
      <c r="G27" s="1673"/>
      <c r="H27" s="1674"/>
      <c r="I27" s="3"/>
    </row>
    <row r="28" spans="1:9" ht="15.6" x14ac:dyDescent="0.25">
      <c r="A28" s="399"/>
      <c r="B28" s="400"/>
      <c r="C28" s="388" t="s">
        <v>107</v>
      </c>
      <c r="D28" s="551"/>
      <c r="E28" s="24"/>
      <c r="F28" s="376" t="s">
        <v>190</v>
      </c>
      <c r="G28" s="1676"/>
      <c r="H28" s="1677"/>
      <c r="I28" s="3"/>
    </row>
    <row r="29" spans="1:9" ht="15.6" x14ac:dyDescent="0.25">
      <c r="A29" s="401"/>
      <c r="B29" s="389"/>
      <c r="C29" s="384" t="s">
        <v>586</v>
      </c>
      <c r="D29" s="1124"/>
      <c r="E29" s="24"/>
      <c r="F29" s="377" t="s">
        <v>175</v>
      </c>
      <c r="G29" s="1675"/>
      <c r="H29" s="1674"/>
      <c r="I29" s="3"/>
    </row>
    <row r="30" spans="1:9" ht="15.6" x14ac:dyDescent="0.25">
      <c r="A30" s="401"/>
      <c r="B30" s="389"/>
      <c r="C30" s="384" t="s">
        <v>256</v>
      </c>
      <c r="D30" s="392"/>
      <c r="E30" s="24"/>
      <c r="F30" s="378" t="s">
        <v>176</v>
      </c>
      <c r="G30" s="1675"/>
      <c r="H30" s="1674"/>
      <c r="I30" s="3"/>
    </row>
    <row r="31" spans="1:9" ht="16.2" thickBot="1" x14ac:dyDescent="0.3">
      <c r="A31" s="401"/>
      <c r="B31" s="389"/>
      <c r="C31" s="384" t="s">
        <v>20</v>
      </c>
      <c r="D31" s="392"/>
      <c r="E31" s="24"/>
      <c r="F31" s="379" t="s">
        <v>177</v>
      </c>
      <c r="G31" s="1721"/>
      <c r="H31" s="1722"/>
      <c r="I31" s="3"/>
    </row>
    <row r="32" spans="1:9" ht="15.6" thickTop="1" x14ac:dyDescent="0.25">
      <c r="A32" s="401"/>
      <c r="B32" s="390"/>
      <c r="C32" s="384" t="str">
        <f>IF(F32=1,"STAGE COMPLETED",IF(F32=5,"STAGE COMPLETED","STAGE"))</f>
        <v>STAGE COMPLETED</v>
      </c>
      <c r="D32" s="1678" t="s">
        <v>628</v>
      </c>
      <c r="E32" s="1679"/>
      <c r="F32" s="759">
        <f>IF(D32="INCEPTION",1,IF(D32="PRELIMINARY DESIGN - CONCEPT &amp; VIABILITY",2,IF(D32="DETAIL DESIGN",3,IF(D32="DOCUMENT &amp; PROCUREMENT",4,IF(D32="CONTRACT ADMINISTRATION &amp; INSPECTION",5,IF(D32="CLOSE-OUT",6))))))</f>
        <v>5</v>
      </c>
      <c r="G32" s="60"/>
      <c r="H32" s="27"/>
      <c r="I32" s="3"/>
    </row>
    <row r="33" spans="1:9" ht="15.6" x14ac:dyDescent="0.25">
      <c r="A33" s="401"/>
      <c r="B33" s="390"/>
      <c r="C33" s="689" t="str">
        <f>IF(F32=1,"N/A",IF(F32&gt;3,"N/A","PERCENTAGE OF STAGE COMPLETED"))</f>
        <v>N/A</v>
      </c>
      <c r="D33" s="690">
        <v>1</v>
      </c>
      <c r="E33" s="1711" t="s">
        <v>619</v>
      </c>
      <c r="F33" s="1712"/>
      <c r="G33" s="1712"/>
      <c r="H33" s="1713"/>
      <c r="I33" s="3"/>
    </row>
    <row r="34" spans="1:9" ht="15.6" x14ac:dyDescent="0.25">
      <c r="A34" s="401"/>
      <c r="B34" s="389"/>
      <c r="C34" s="384" t="s">
        <v>146</v>
      </c>
      <c r="D34" s="279" t="s">
        <v>128</v>
      </c>
      <c r="E34" s="24"/>
      <c r="F34" s="60"/>
      <c r="G34" s="60"/>
      <c r="H34" s="27"/>
      <c r="I34" s="3"/>
    </row>
    <row r="35" spans="1:9" ht="15.6" x14ac:dyDescent="0.25">
      <c r="A35" s="183"/>
      <c r="B35" s="839"/>
      <c r="C35" s="839" t="s">
        <v>338</v>
      </c>
      <c r="D35" s="1125"/>
      <c r="E35" s="24"/>
      <c r="F35" s="60"/>
      <c r="G35" s="60"/>
      <c r="H35" s="27"/>
      <c r="I35" s="3"/>
    </row>
    <row r="36" spans="1:9" x14ac:dyDescent="0.25">
      <c r="A36" s="1716" t="s">
        <v>258</v>
      </c>
      <c r="B36" s="1717"/>
      <c r="C36" s="1717"/>
      <c r="D36" s="1717"/>
      <c r="E36" s="1718"/>
      <c r="F36" s="59" t="s">
        <v>128</v>
      </c>
      <c r="G36" s="212" t="s">
        <v>202</v>
      </c>
      <c r="H36" s="381">
        <f>IF(F36="Y",1,0.75)</f>
        <v>0.75</v>
      </c>
      <c r="I36" s="3"/>
    </row>
    <row r="37" spans="1:9" x14ac:dyDescent="0.25">
      <c r="A37" s="1659" t="s">
        <v>144</v>
      </c>
      <c r="B37" s="1660"/>
      <c r="C37" s="1660"/>
      <c r="D37" s="1660"/>
      <c r="E37" s="1661"/>
      <c r="F37" s="59" t="s">
        <v>128</v>
      </c>
      <c r="G37" s="60"/>
      <c r="H37" s="27"/>
      <c r="I37" s="3"/>
    </row>
    <row r="38" spans="1:9" x14ac:dyDescent="0.25">
      <c r="A38" s="1659" t="s">
        <v>115</v>
      </c>
      <c r="B38" s="1660"/>
      <c r="C38" s="1660"/>
      <c r="D38" s="1660"/>
      <c r="E38" s="1661"/>
      <c r="F38" s="59" t="s">
        <v>128</v>
      </c>
      <c r="G38" s="13"/>
      <c r="H38" s="601"/>
      <c r="I38" s="3"/>
    </row>
    <row r="39" spans="1:9" x14ac:dyDescent="0.25">
      <c r="A39" s="1662" t="s">
        <v>116</v>
      </c>
      <c r="B39" s="1663"/>
      <c r="C39" s="1663"/>
      <c r="D39" s="1663"/>
      <c r="E39" s="1664"/>
      <c r="F39" s="59" t="s">
        <v>128</v>
      </c>
      <c r="G39" s="1333"/>
      <c r="H39" s="1334">
        <f>Scales!C3</f>
        <v>965000</v>
      </c>
      <c r="I39" s="3"/>
    </row>
    <row r="40" spans="1:9" ht="15.6" thickBot="1" x14ac:dyDescent="0.3">
      <c r="A40" s="1331"/>
      <c r="B40" s="1328"/>
      <c r="C40" s="1328"/>
      <c r="D40" s="1328"/>
      <c r="E40" s="1682" t="s">
        <v>630</v>
      </c>
      <c r="F40" s="1683"/>
      <c r="G40" s="1684"/>
      <c r="H40" s="1332"/>
      <c r="I40" s="3"/>
    </row>
    <row r="41" spans="1:9" ht="85.5" customHeight="1" thickTop="1" thickBot="1" x14ac:dyDescent="0.3">
      <c r="A41" s="1719" t="s">
        <v>296</v>
      </c>
      <c r="B41" s="1720"/>
      <c r="C41" s="1720"/>
      <c r="D41" s="1720"/>
      <c r="E41" s="1284" t="s">
        <v>613</v>
      </c>
      <c r="F41" s="1694" t="s">
        <v>614</v>
      </c>
      <c r="G41" s="1727" t="s">
        <v>615</v>
      </c>
      <c r="H41" s="1725" t="s">
        <v>102</v>
      </c>
      <c r="I41" s="4"/>
    </row>
    <row r="42" spans="1:9" ht="21.75" customHeight="1" thickBot="1" x14ac:dyDescent="0.3">
      <c r="A42" s="1692" t="s">
        <v>148</v>
      </c>
      <c r="B42" s="1693"/>
      <c r="C42" s="1693"/>
      <c r="D42" s="664" t="s">
        <v>646</v>
      </c>
      <c r="E42" s="1285">
        <f>IF($F$32&lt;5,1,IF($D$42="TENDER VALUES",2,1))</f>
        <v>2</v>
      </c>
      <c r="F42" s="1695"/>
      <c r="G42" s="1728"/>
      <c r="H42" s="1726"/>
      <c r="I42" s="4"/>
    </row>
    <row r="43" spans="1:9" ht="44.25" customHeight="1" x14ac:dyDescent="0.25">
      <c r="A43" s="1646" t="s">
        <v>145</v>
      </c>
      <c r="B43" s="1648"/>
      <c r="C43" s="1648"/>
      <c r="D43" s="1648"/>
      <c r="E43" s="751"/>
      <c r="F43" s="751">
        <v>1000000</v>
      </c>
      <c r="G43" s="751"/>
      <c r="H43" s="1287">
        <f>IF($F$32&lt;5,E43,IF($F$32=5,F43,IF($F$32=6,G43)))</f>
        <v>1000000</v>
      </c>
      <c r="I43" s="4"/>
    </row>
    <row r="44" spans="1:9" ht="30.75" customHeight="1" x14ac:dyDescent="0.25">
      <c r="A44" s="1729" t="s">
        <v>103</v>
      </c>
      <c r="B44" s="1731"/>
      <c r="C44" s="1731"/>
      <c r="D44" s="1731"/>
      <c r="E44" s="751"/>
      <c r="F44" s="751"/>
      <c r="G44" s="751"/>
      <c r="H44" s="1288">
        <f>IF($F$32&lt;5,E44,IF($F$32=5,F44,IF($F$32=6,G44)))</f>
        <v>0</v>
      </c>
    </row>
    <row r="45" spans="1:9" ht="30.75" customHeight="1" x14ac:dyDescent="0.25">
      <c r="A45" s="1729" t="s">
        <v>104</v>
      </c>
      <c r="B45" s="1730"/>
      <c r="C45" s="1730"/>
      <c r="D45" s="1730"/>
      <c r="E45" s="752">
        <v>0</v>
      </c>
      <c r="F45" s="752">
        <v>0</v>
      </c>
      <c r="G45" s="752">
        <v>0</v>
      </c>
      <c r="H45" s="1288">
        <f t="shared" ref="H45:H46" si="0">IF($F$32&lt;5,E45,IF($F$32=5,F45,IF($F$32=6,G45)))</f>
        <v>0</v>
      </c>
    </row>
    <row r="46" spans="1:9" ht="39.75" customHeight="1" thickBot="1" x14ac:dyDescent="0.3">
      <c r="A46" s="1628" t="s">
        <v>138</v>
      </c>
      <c r="B46" s="1629"/>
      <c r="C46" s="1629"/>
      <c r="D46" s="1629"/>
      <c r="E46" s="752">
        <v>0</v>
      </c>
      <c r="F46" s="752">
        <v>0</v>
      </c>
      <c r="G46" s="752">
        <v>0</v>
      </c>
      <c r="H46" s="1289">
        <f t="shared" si="0"/>
        <v>0</v>
      </c>
    </row>
    <row r="47" spans="1:9" ht="33.75" customHeight="1" thickBot="1" x14ac:dyDescent="0.3">
      <c r="A47" s="1632" t="s">
        <v>151</v>
      </c>
      <c r="B47" s="1633"/>
      <c r="C47" s="1633"/>
      <c r="D47" s="1633"/>
      <c r="E47" s="746">
        <f>SUM(E43:E46)</f>
        <v>0</v>
      </c>
      <c r="F47" s="746">
        <f>SUM(F43:F46)</f>
        <v>1000000</v>
      </c>
      <c r="G47" s="747">
        <f>SUM(G43:G46)</f>
        <v>0</v>
      </c>
      <c r="H47" s="448">
        <f>SUM(H43:H46)</f>
        <v>1000000</v>
      </c>
    </row>
    <row r="48" spans="1:9" ht="27" customHeight="1" thickTop="1" thickBot="1" x14ac:dyDescent="0.3">
      <c r="A48" s="1634" t="str">
        <f>IF($F$32=6,IF(H47=H53,"","THE VALUE OF ( C) MUST BE THE SAME AS (D)"),"")</f>
        <v/>
      </c>
      <c r="B48" s="1635"/>
      <c r="C48" s="1635"/>
      <c r="D48" s="1635"/>
      <c r="E48" s="1636"/>
      <c r="F48" s="666"/>
      <c r="G48" s="10" t="str">
        <f>IF($F$32=6,IF($H$49=$H$54,"","ERROR"),"")</f>
        <v/>
      </c>
      <c r="H48" s="449"/>
    </row>
    <row r="49" spans="1:8" ht="32.25" customHeight="1" thickBot="1" x14ac:dyDescent="0.3">
      <c r="A49" s="1630" t="s">
        <v>149</v>
      </c>
      <c r="B49" s="1631"/>
      <c r="C49" s="1631"/>
      <c r="D49" s="1631"/>
      <c r="E49" s="766"/>
      <c r="F49" s="766"/>
      <c r="G49" s="767"/>
      <c r="H49" s="447">
        <f t="shared" ref="H49" si="1">IF($F$32&lt;5,E49,IF($F$32=5,F49,IF($F$32=6,G49)))</f>
        <v>0</v>
      </c>
    </row>
    <row r="50" spans="1:8" ht="53.25" customHeight="1" thickTop="1" thickBot="1" x14ac:dyDescent="0.3">
      <c r="A50" s="1650" t="s">
        <v>631</v>
      </c>
      <c r="B50" s="1651"/>
      <c r="C50" s="1651"/>
      <c r="D50" s="1651"/>
      <c r="E50" s="1651"/>
      <c r="F50" s="1652"/>
      <c r="G50" s="1286" t="s">
        <v>622</v>
      </c>
      <c r="H50" s="1221" t="s">
        <v>102</v>
      </c>
    </row>
    <row r="51" spans="1:8" ht="36.75" customHeight="1" x14ac:dyDescent="0.25">
      <c r="A51" s="1646" t="s">
        <v>250</v>
      </c>
      <c r="B51" s="1647"/>
      <c r="C51" s="1647"/>
      <c r="D51" s="1647"/>
      <c r="E51" s="1648"/>
      <c r="F51" s="1649"/>
      <c r="G51" s="751"/>
      <c r="H51" s="1290">
        <f>IF($F$32&gt;4,$G$51,0)</f>
        <v>0</v>
      </c>
    </row>
    <row r="52" spans="1:8" ht="36.75" customHeight="1" thickBot="1" x14ac:dyDescent="0.3">
      <c r="A52" s="1643" t="s">
        <v>249</v>
      </c>
      <c r="B52" s="1644"/>
      <c r="C52" s="1644"/>
      <c r="D52" s="1644"/>
      <c r="E52" s="1644"/>
      <c r="F52" s="1645"/>
      <c r="G52" s="751"/>
      <c r="H52" s="1291">
        <f>IF($F$32&gt;4,$G$52,0)</f>
        <v>0</v>
      </c>
    </row>
    <row r="53" spans="1:8" ht="30" customHeight="1" thickTop="1" thickBot="1" x14ac:dyDescent="0.3">
      <c r="A53" s="1640" t="s">
        <v>150</v>
      </c>
      <c r="B53" s="1641"/>
      <c r="C53" s="1641"/>
      <c r="D53" s="1641"/>
      <c r="E53" s="1642"/>
      <c r="F53" s="1642"/>
      <c r="G53" s="753">
        <f>G51+G52</f>
        <v>0</v>
      </c>
      <c r="H53" s="500">
        <f>IF($F$32&gt;4,$G$53,0)</f>
        <v>0</v>
      </c>
    </row>
    <row r="54" spans="1:8" ht="41.25" customHeight="1" thickTop="1" thickBot="1" x14ac:dyDescent="0.3">
      <c r="A54" s="1637" t="s">
        <v>140</v>
      </c>
      <c r="B54" s="1638"/>
      <c r="C54" s="1638"/>
      <c r="D54" s="1638"/>
      <c r="E54" s="1639"/>
      <c r="F54" s="1639"/>
      <c r="G54" s="754"/>
      <c r="H54" s="1291">
        <f>IF($F$32&gt;4,$G$54,0)</f>
        <v>0</v>
      </c>
    </row>
    <row r="55" spans="1:8" ht="15.6" thickTop="1" x14ac:dyDescent="0.25">
      <c r="G55" s="7"/>
    </row>
    <row r="64" spans="1:8" ht="18.75" customHeight="1" x14ac:dyDescent="0.25"/>
    <row r="71" ht="25.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113" spans="1:9" x14ac:dyDescent="0.25">
      <c r="A113" s="1"/>
      <c r="B113" s="1"/>
      <c r="C113" s="1"/>
      <c r="D113" s="1"/>
      <c r="E113" s="1"/>
      <c r="F113" s="1"/>
      <c r="G113" s="1"/>
      <c r="H113" s="1"/>
      <c r="I113" s="1"/>
    </row>
    <row r="114" spans="1:9" x14ac:dyDescent="0.25">
      <c r="A114" s="1626"/>
      <c r="B114" s="1627"/>
      <c r="C114" s="1627"/>
      <c r="D114" s="1627"/>
      <c r="E114" s="1627"/>
      <c r="F114" s="1627"/>
      <c r="G114" s="1627"/>
      <c r="H114" s="1627"/>
      <c r="I114" s="1627"/>
    </row>
  </sheetData>
  <sheetProtection algorithmName="SHA-512" hashValue="SIamj0iP+BgGTJvCLVEnYgwt2hJYdBxd+sncHQCP0V07f1VZY7dMX9RqY6g3vwTzOVtRcCgfNQaROQ1cFsBxHA==" saltValue="Ow0cENcadG5okSFZo5TYtw==" spinCount="100000" sheet="1" objects="1" scenarios="1" formatCells="0" formatColumns="0" formatRows="0"/>
  <mergeCells count="49">
    <mergeCell ref="H41:H42"/>
    <mergeCell ref="G41:G42"/>
    <mergeCell ref="A45:D45"/>
    <mergeCell ref="G21:H21"/>
    <mergeCell ref="A37:E37"/>
    <mergeCell ref="G23:H23"/>
    <mergeCell ref="A44:D44"/>
    <mergeCell ref="E2:H3"/>
    <mergeCell ref="A42:C42"/>
    <mergeCell ref="F41:F42"/>
    <mergeCell ref="G18:H20"/>
    <mergeCell ref="A2:D3"/>
    <mergeCell ref="D17:E17"/>
    <mergeCell ref="D15:F15"/>
    <mergeCell ref="G6:H6"/>
    <mergeCell ref="E33:H33"/>
    <mergeCell ref="D14:F14"/>
    <mergeCell ref="G22:H22"/>
    <mergeCell ref="A36:E36"/>
    <mergeCell ref="A41:D41"/>
    <mergeCell ref="G31:H31"/>
    <mergeCell ref="G29:H29"/>
    <mergeCell ref="D12:H12"/>
    <mergeCell ref="A1:H1"/>
    <mergeCell ref="E4:H4"/>
    <mergeCell ref="A43:D43"/>
    <mergeCell ref="A38:E38"/>
    <mergeCell ref="A39:E39"/>
    <mergeCell ref="A22:E25"/>
    <mergeCell ref="G24:H24"/>
    <mergeCell ref="G25:H25"/>
    <mergeCell ref="G30:H30"/>
    <mergeCell ref="G27:H27"/>
    <mergeCell ref="G28:H28"/>
    <mergeCell ref="D32:E32"/>
    <mergeCell ref="G26:H26"/>
    <mergeCell ref="G10:H10"/>
    <mergeCell ref="E40:G40"/>
    <mergeCell ref="D13:H13"/>
    <mergeCell ref="A114:I114"/>
    <mergeCell ref="A46:D46"/>
    <mergeCell ref="A49:D49"/>
    <mergeCell ref="A47:D47"/>
    <mergeCell ref="A48:E48"/>
    <mergeCell ref="A54:F54"/>
    <mergeCell ref="A53:F53"/>
    <mergeCell ref="A52:F52"/>
    <mergeCell ref="A51:F51"/>
    <mergeCell ref="A50:F50"/>
  </mergeCells>
  <phoneticPr fontId="54" type="noConversion"/>
  <dataValidations count="6">
    <dataValidation type="list" allowBlank="1" showInputMessage="1" showErrorMessage="1" sqref="D42">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 CONCEPT &amp; VIABILITY, DETAIL DESIGN, DOCUMENT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43"/>
  </sheetPr>
  <dimension ref="A1:I113"/>
  <sheetViews>
    <sheetView zoomScaleNormal="100" zoomScaleSheetLayoutView="70" workbookViewId="0">
      <selection activeCell="D14" sqref="D14:F14"/>
    </sheetView>
  </sheetViews>
  <sheetFormatPr defaultRowHeight="15" x14ac:dyDescent="0.25"/>
  <cols>
    <col min="1" max="1" width="16.33203125" customWidth="1"/>
    <col min="2" max="2" width="3.9140625" customWidth="1"/>
    <col min="3" max="3" width="8.9140625" customWidth="1"/>
    <col min="4" max="4" width="27" customWidth="1"/>
    <col min="5" max="5" width="18.6640625" customWidth="1"/>
    <col min="6" max="6" width="17.58203125" customWidth="1"/>
    <col min="7" max="7" width="17.25" customWidth="1"/>
    <col min="8" max="8" width="16" customWidth="1"/>
    <col min="9" max="9" width="2.9140625" customWidth="1"/>
  </cols>
  <sheetData>
    <row r="1" spans="1:9" ht="54.75" customHeight="1" thickTop="1" thickBot="1" x14ac:dyDescent="0.3">
      <c r="A1" s="1653" t="str">
        <f>'Input Data'!A1:H1</f>
        <v>PLEASE READ THE NOTES (1st SHEET) BEFORE STARTING TO POPULATE THE SHEETS. COMPLETE ALL YELLOW CELLS PLEASE !!!</v>
      </c>
      <c r="B1" s="1739"/>
      <c r="C1" s="1739"/>
      <c r="D1" s="1739"/>
      <c r="E1" s="1739"/>
      <c r="F1" s="1739"/>
      <c r="G1" s="1739"/>
      <c r="H1" s="1740"/>
      <c r="I1" s="3"/>
    </row>
    <row r="2" spans="1:9" ht="24.75" customHeight="1" thickTop="1" x14ac:dyDescent="0.25">
      <c r="A2" s="1771"/>
      <c r="B2" s="1772"/>
      <c r="C2" s="1772"/>
      <c r="D2" s="1772"/>
      <c r="E2" s="1688" t="s">
        <v>131</v>
      </c>
      <c r="F2" s="1689"/>
      <c r="G2" s="1689"/>
      <c r="H2" s="1746"/>
      <c r="I2" s="3"/>
    </row>
    <row r="3" spans="1:9" ht="27" customHeight="1" x14ac:dyDescent="0.25">
      <c r="A3" s="1773"/>
      <c r="B3" s="1772"/>
      <c r="C3" s="1772"/>
      <c r="D3" s="1772"/>
      <c r="E3" s="1747"/>
      <c r="F3" s="1747"/>
      <c r="G3" s="1747"/>
      <c r="H3" s="1746"/>
      <c r="I3" s="2"/>
    </row>
    <row r="4" spans="1:9" ht="27.75" customHeight="1" x14ac:dyDescent="0.25">
      <c r="A4" s="312"/>
      <c r="B4" s="470"/>
      <c r="C4" s="470"/>
      <c r="D4" s="470"/>
      <c r="E4" s="1656" t="str">
        <f>'Input Data'!E4:H4</f>
        <v>MULTIDISCIPLINARY PROJECT: 2024 NDPW FEES</v>
      </c>
      <c r="F4" s="1657"/>
      <c r="G4" s="1657"/>
      <c r="H4" s="1741"/>
      <c r="I4" s="2"/>
    </row>
    <row r="5" spans="1:9" ht="10.5" customHeight="1" thickBot="1" x14ac:dyDescent="0.3">
      <c r="A5" s="469"/>
      <c r="B5" s="470"/>
      <c r="C5" s="470"/>
      <c r="D5" s="470"/>
      <c r="E5" s="459"/>
      <c r="F5" s="460"/>
      <c r="G5" s="460"/>
      <c r="H5" s="471" t="str">
        <f>'Input Data'!H5</f>
        <v>Version: 1.0  2024-07</v>
      </c>
      <c r="I5" s="2"/>
    </row>
    <row r="6" spans="1:9" ht="16.2" thickTop="1" x14ac:dyDescent="0.25">
      <c r="A6" s="502"/>
      <c r="B6" s="382"/>
      <c r="C6" s="383" t="s">
        <v>204</v>
      </c>
      <c r="D6" s="503" t="s">
        <v>261</v>
      </c>
      <c r="E6" s="504"/>
      <c r="F6" s="505" t="s">
        <v>203</v>
      </c>
      <c r="G6" s="1783" t="s">
        <v>289</v>
      </c>
      <c r="H6" s="1784"/>
      <c r="I6" s="3"/>
    </row>
    <row r="7" spans="1:9" x14ac:dyDescent="0.25">
      <c r="A7" s="506"/>
      <c r="B7" s="31"/>
      <c r="C7" s="384" t="s">
        <v>210</v>
      </c>
      <c r="D7" s="507">
        <v>79867</v>
      </c>
      <c r="E7" s="508"/>
      <c r="F7" s="373" t="s">
        <v>182</v>
      </c>
      <c r="G7" s="509" t="s">
        <v>286</v>
      </c>
      <c r="H7" s="413"/>
      <c r="I7" s="2"/>
    </row>
    <row r="8" spans="1:9" x14ac:dyDescent="0.25">
      <c r="A8" s="506"/>
      <c r="B8" s="31"/>
      <c r="C8" s="384" t="s">
        <v>219</v>
      </c>
      <c r="D8" s="510">
        <v>2</v>
      </c>
      <c r="E8" s="508"/>
      <c r="F8" s="373" t="s">
        <v>195</v>
      </c>
      <c r="G8" s="509" t="s">
        <v>287</v>
      </c>
      <c r="H8" s="413"/>
      <c r="I8" s="2"/>
    </row>
    <row r="9" spans="1:9" x14ac:dyDescent="0.25">
      <c r="A9" s="506"/>
      <c r="B9" s="31"/>
      <c r="C9" s="384" t="s">
        <v>165</v>
      </c>
      <c r="D9" s="511" t="s">
        <v>272</v>
      </c>
      <c r="E9" s="461"/>
      <c r="F9" s="468" t="s">
        <v>186</v>
      </c>
      <c r="G9" s="509" t="s">
        <v>288</v>
      </c>
      <c r="H9" s="413"/>
      <c r="I9" s="2"/>
    </row>
    <row r="10" spans="1:9" ht="15.75" customHeight="1" x14ac:dyDescent="0.25">
      <c r="A10" s="506"/>
      <c r="B10" s="31"/>
      <c r="C10" s="247" t="s">
        <v>99</v>
      </c>
      <c r="D10" s="594" t="s">
        <v>336</v>
      </c>
      <c r="E10" s="467" t="s">
        <v>36</v>
      </c>
      <c r="F10" s="373" t="s">
        <v>185</v>
      </c>
      <c r="G10" s="1785" t="s">
        <v>290</v>
      </c>
      <c r="H10" s="1786"/>
      <c r="I10" s="2"/>
    </row>
    <row r="11" spans="1:9" ht="15.75" customHeight="1" x14ac:dyDescent="0.25">
      <c r="A11" s="506"/>
      <c r="B11" s="31"/>
      <c r="C11" s="683" t="s">
        <v>329</v>
      </c>
      <c r="D11" s="684" t="s">
        <v>598</v>
      </c>
      <c r="E11" s="685" t="str">
        <f>IF($D$11="Yes", "NO OF DAYS","")</f>
        <v/>
      </c>
      <c r="F11" s="686">
        <v>1</v>
      </c>
      <c r="G11" s="687" t="str">
        <f>IF($D$11="Yes", "RATE","")</f>
        <v/>
      </c>
      <c r="H11" s="688">
        <v>1000</v>
      </c>
      <c r="I11" s="2"/>
    </row>
    <row r="12" spans="1:9" x14ac:dyDescent="0.25">
      <c r="A12" s="506"/>
      <c r="B12" s="31"/>
      <c r="C12" s="384" t="s">
        <v>96</v>
      </c>
      <c r="D12" s="1776" t="s">
        <v>262</v>
      </c>
      <c r="E12" s="1777"/>
      <c r="F12" s="1777"/>
      <c r="G12" s="1777"/>
      <c r="H12" s="1787"/>
      <c r="I12" s="2"/>
    </row>
    <row r="13" spans="1:9" x14ac:dyDescent="0.25">
      <c r="A13" s="506"/>
      <c r="B13" s="31"/>
      <c r="C13" s="384" t="s">
        <v>213</v>
      </c>
      <c r="D13" s="1788" t="s">
        <v>263</v>
      </c>
      <c r="E13" s="1789"/>
      <c r="F13" s="1789"/>
      <c r="G13" s="1789"/>
      <c r="H13" s="1790"/>
      <c r="I13" s="2"/>
    </row>
    <row r="14" spans="1:9" ht="18" customHeight="1" x14ac:dyDescent="0.25">
      <c r="A14" s="506"/>
      <c r="B14" s="31"/>
      <c r="C14" s="384" t="s">
        <v>133</v>
      </c>
      <c r="D14" s="1776" t="s">
        <v>264</v>
      </c>
      <c r="E14" s="1777"/>
      <c r="F14" s="1777"/>
      <c r="G14" s="393" t="s">
        <v>190</v>
      </c>
      <c r="H14" s="512">
        <v>1034</v>
      </c>
      <c r="I14" s="2"/>
    </row>
    <row r="15" spans="1:9" ht="18" customHeight="1" x14ac:dyDescent="0.25">
      <c r="A15" s="506"/>
      <c r="B15" s="31"/>
      <c r="C15" s="384" t="s">
        <v>255</v>
      </c>
      <c r="D15" s="1776" t="s">
        <v>265</v>
      </c>
      <c r="E15" s="1777"/>
      <c r="F15" s="1777"/>
      <c r="G15" s="393" t="s">
        <v>190</v>
      </c>
      <c r="H15" s="513">
        <v>1002</v>
      </c>
      <c r="I15" s="2"/>
    </row>
    <row r="16" spans="1:9" ht="17.25" customHeight="1" x14ac:dyDescent="0.25">
      <c r="A16" s="506"/>
      <c r="B16" s="30"/>
      <c r="C16" s="384" t="s">
        <v>129</v>
      </c>
      <c r="D16" s="514" t="s">
        <v>267</v>
      </c>
      <c r="E16" s="515" t="s">
        <v>191</v>
      </c>
      <c r="F16" s="516" t="s">
        <v>268</v>
      </c>
      <c r="G16" s="394" t="s">
        <v>186</v>
      </c>
      <c r="H16" s="517" t="s">
        <v>266</v>
      </c>
      <c r="I16" s="2"/>
    </row>
    <row r="17" spans="1:9" ht="17.25" customHeight="1" thickBot="1" x14ac:dyDescent="0.3">
      <c r="A17" s="506"/>
      <c r="B17" s="30"/>
      <c r="C17" s="384" t="s">
        <v>185</v>
      </c>
      <c r="D17" s="1774" t="s">
        <v>269</v>
      </c>
      <c r="E17" s="1775"/>
      <c r="F17" s="518"/>
      <c r="G17" s="297"/>
      <c r="H17" s="413"/>
      <c r="I17" s="2"/>
    </row>
    <row r="18" spans="1:9" ht="15.6" thickTop="1" x14ac:dyDescent="0.25">
      <c r="A18" s="506"/>
      <c r="B18" s="31"/>
      <c r="C18" s="384" t="s">
        <v>93</v>
      </c>
      <c r="D18" s="511" t="s">
        <v>270</v>
      </c>
      <c r="E18" s="462">
        <v>1</v>
      </c>
      <c r="F18" s="494"/>
      <c r="G18" s="1753" t="s">
        <v>205</v>
      </c>
      <c r="H18" s="1754"/>
      <c r="I18" s="3"/>
    </row>
    <row r="19" spans="1:9" x14ac:dyDescent="0.25">
      <c r="A19" s="506"/>
      <c r="B19" s="31"/>
      <c r="C19" s="384" t="s">
        <v>126</v>
      </c>
      <c r="D19" s="519" t="s">
        <v>271</v>
      </c>
      <c r="E19" s="463" t="s">
        <v>297</v>
      </c>
      <c r="F19" s="495" t="s">
        <v>174</v>
      </c>
      <c r="G19" s="1755"/>
      <c r="H19" s="1756"/>
      <c r="I19" s="3"/>
    </row>
    <row r="20" spans="1:9" ht="15.6" x14ac:dyDescent="0.25">
      <c r="A20" s="506"/>
      <c r="B20" s="385"/>
      <c r="C20" s="384" t="s">
        <v>28</v>
      </c>
      <c r="D20" s="520">
        <f>'Input Data'!D20</f>
        <v>0</v>
      </c>
      <c r="E20" s="465"/>
      <c r="F20" s="496"/>
      <c r="G20" s="1757"/>
      <c r="H20" s="1758"/>
      <c r="I20" s="3"/>
    </row>
    <row r="21" spans="1:9" x14ac:dyDescent="0.25">
      <c r="A21" s="521"/>
      <c r="B21" s="386"/>
      <c r="C21" s="387" t="s">
        <v>130</v>
      </c>
      <c r="D21" s="596">
        <f>'Input Data'!D21</f>
        <v>2024</v>
      </c>
      <c r="E21" s="534">
        <v>1</v>
      </c>
      <c r="F21" s="374" t="s">
        <v>170</v>
      </c>
      <c r="G21" s="1732" t="s">
        <v>273</v>
      </c>
      <c r="H21" s="1733"/>
      <c r="I21" s="3"/>
    </row>
    <row r="22" spans="1:9" ht="27" customHeight="1" x14ac:dyDescent="0.25">
      <c r="A22" s="1665" t="str">
        <f>'Input Data'!A22:E25</f>
        <v>Fee in accordance with the National Department of Public Works Scope of Engineering Services and Tariff of Fees for Persons Registered in terms of the Engineering Profession Act, 2000 (Act No. 46 of 2000) dated 1 April 2024</v>
      </c>
      <c r="B22" s="1666"/>
      <c r="C22" s="1666"/>
      <c r="D22" s="1666"/>
      <c r="E22" s="1667"/>
      <c r="F22" s="380" t="s">
        <v>171</v>
      </c>
      <c r="G22" s="1732" t="s">
        <v>274</v>
      </c>
      <c r="H22" s="1733"/>
      <c r="I22" s="3"/>
    </row>
    <row r="23" spans="1:9" x14ac:dyDescent="0.25">
      <c r="A23" s="1668"/>
      <c r="B23" s="1669"/>
      <c r="C23" s="1669"/>
      <c r="D23" s="1669"/>
      <c r="E23" s="1670"/>
      <c r="F23" s="380" t="s">
        <v>172</v>
      </c>
      <c r="G23" s="1745" t="s">
        <v>275</v>
      </c>
      <c r="H23" s="1733"/>
      <c r="I23" s="3"/>
    </row>
    <row r="24" spans="1:9" x14ac:dyDescent="0.25">
      <c r="A24" s="1668"/>
      <c r="B24" s="1669"/>
      <c r="C24" s="1669"/>
      <c r="D24" s="1669"/>
      <c r="E24" s="1670"/>
      <c r="F24" s="380" t="s">
        <v>93</v>
      </c>
      <c r="G24" s="1794" t="s">
        <v>285</v>
      </c>
      <c r="H24" s="1795"/>
      <c r="I24" s="3"/>
    </row>
    <row r="25" spans="1:9" ht="19.5" customHeight="1" x14ac:dyDescent="0.25">
      <c r="A25" s="1668"/>
      <c r="B25" s="1669"/>
      <c r="C25" s="1669"/>
      <c r="D25" s="1669"/>
      <c r="E25" s="1670"/>
      <c r="F25" s="380" t="s">
        <v>254</v>
      </c>
      <c r="G25" s="1732" t="s">
        <v>276</v>
      </c>
      <c r="H25" s="1733"/>
      <c r="I25" s="3"/>
    </row>
    <row r="26" spans="1:9" ht="15.6" x14ac:dyDescent="0.25">
      <c r="A26" s="287" t="s">
        <v>29</v>
      </c>
      <c r="B26" s="245"/>
      <c r="C26" s="29"/>
      <c r="D26" s="497" t="s">
        <v>298</v>
      </c>
      <c r="E26" s="24"/>
      <c r="F26" s="375" t="s">
        <v>189</v>
      </c>
      <c r="G26" s="1732" t="s">
        <v>277</v>
      </c>
      <c r="H26" s="1733"/>
      <c r="I26" s="3"/>
    </row>
    <row r="27" spans="1:9" ht="17.399999999999999" x14ac:dyDescent="0.25">
      <c r="A27" s="237" t="s">
        <v>161</v>
      </c>
      <c r="B27" s="238"/>
      <c r="C27" s="239"/>
      <c r="D27" s="522">
        <v>100</v>
      </c>
      <c r="E27" s="24" t="s">
        <v>220</v>
      </c>
      <c r="F27" s="375" t="s">
        <v>188</v>
      </c>
      <c r="G27" s="1732" t="s">
        <v>274</v>
      </c>
      <c r="H27" s="1733"/>
      <c r="I27" s="3"/>
    </row>
    <row r="28" spans="1:9" ht="15.6" x14ac:dyDescent="0.25">
      <c r="A28" s="523"/>
      <c r="B28" s="524"/>
      <c r="C28" s="388" t="s">
        <v>107</v>
      </c>
      <c r="D28" s="525">
        <f>'Input Data'!D28</f>
        <v>0</v>
      </c>
      <c r="E28" s="24"/>
      <c r="F28" s="376" t="s">
        <v>190</v>
      </c>
      <c r="G28" s="1745" t="s">
        <v>278</v>
      </c>
      <c r="H28" s="1791"/>
      <c r="I28" s="3"/>
    </row>
    <row r="29" spans="1:9" ht="15.6" x14ac:dyDescent="0.25">
      <c r="A29" s="526"/>
      <c r="B29" s="389"/>
      <c r="C29" s="384" t="s">
        <v>586</v>
      </c>
      <c r="D29" s="527">
        <v>10</v>
      </c>
      <c r="E29" s="24"/>
      <c r="F29" s="377" t="s">
        <v>175</v>
      </c>
      <c r="G29" s="1764" t="s">
        <v>279</v>
      </c>
      <c r="H29" s="1733"/>
      <c r="I29" s="3"/>
    </row>
    <row r="30" spans="1:9" ht="15.6" x14ac:dyDescent="0.25">
      <c r="A30" s="526"/>
      <c r="B30" s="389"/>
      <c r="C30" s="384" t="s">
        <v>256</v>
      </c>
      <c r="D30" s="528" t="s">
        <v>282</v>
      </c>
      <c r="E30" s="24"/>
      <c r="F30" s="378" t="s">
        <v>176</v>
      </c>
      <c r="G30" s="1764" t="s">
        <v>280</v>
      </c>
      <c r="H30" s="1733"/>
      <c r="I30" s="3"/>
    </row>
    <row r="31" spans="1:9" ht="16.2" thickBot="1" x14ac:dyDescent="0.3">
      <c r="A31" s="526"/>
      <c r="B31" s="389"/>
      <c r="C31" s="384" t="s">
        <v>20</v>
      </c>
      <c r="D31" s="528" t="s">
        <v>283</v>
      </c>
      <c r="E31" s="24"/>
      <c r="F31" s="379" t="s">
        <v>177</v>
      </c>
      <c r="G31" s="1736" t="s">
        <v>281</v>
      </c>
      <c r="H31" s="1737"/>
      <c r="I31" s="3"/>
    </row>
    <row r="32" spans="1:9" ht="15.6" thickTop="1" x14ac:dyDescent="0.25">
      <c r="A32" s="526"/>
      <c r="B32" s="529"/>
      <c r="C32" s="384" t="s">
        <v>299</v>
      </c>
      <c r="D32" s="1792" t="s">
        <v>628</v>
      </c>
      <c r="E32" s="1793"/>
      <c r="F32" s="759">
        <f>IF(D32="INCEPTION",1,IF(D32="PRELIMINARY DESIGN - CONCEPT &amp; VIABILITY",2,IF(D32="DETAIL DESIGN",3,IF(D32="DOCUMENT &amp; PROCUREMENT",4,IF(D32="CONTRACT ADMINISTRATION &amp; INSPECTION",5,IF(D32="CLOSE-OUT",6))))))</f>
        <v>5</v>
      </c>
      <c r="G32" s="62"/>
      <c r="H32" s="413"/>
      <c r="I32" s="3"/>
    </row>
    <row r="33" spans="1:9" ht="15.6" x14ac:dyDescent="0.25">
      <c r="A33" s="526"/>
      <c r="B33" s="529"/>
      <c r="C33" s="689" t="s">
        <v>330</v>
      </c>
      <c r="D33" s="690">
        <v>1</v>
      </c>
      <c r="E33" s="760" t="s">
        <v>619</v>
      </c>
      <c r="F33" s="667"/>
      <c r="G33" s="62"/>
      <c r="H33" s="413"/>
      <c r="I33" s="3"/>
    </row>
    <row r="34" spans="1:9" ht="15.6" x14ac:dyDescent="0.25">
      <c r="A34" s="526"/>
      <c r="B34" s="389"/>
      <c r="C34" s="384" t="s">
        <v>146</v>
      </c>
      <c r="D34" s="596" t="s">
        <v>128</v>
      </c>
      <c r="E34" s="24"/>
      <c r="F34" s="62"/>
      <c r="G34" s="62"/>
      <c r="H34" s="413"/>
      <c r="I34" s="3"/>
    </row>
    <row r="35" spans="1:9" ht="15.6" x14ac:dyDescent="0.25">
      <c r="A35" s="496"/>
      <c r="B35" s="839"/>
      <c r="C35" s="839" t="s">
        <v>518</v>
      </c>
      <c r="D35" s="1214">
        <v>300000</v>
      </c>
      <c r="E35" s="24"/>
      <c r="F35" s="62"/>
      <c r="G35" s="62"/>
      <c r="H35" s="413"/>
      <c r="I35" s="3"/>
    </row>
    <row r="36" spans="1:9" x14ac:dyDescent="0.25">
      <c r="A36" s="1716" t="s">
        <v>258</v>
      </c>
      <c r="B36" s="1717"/>
      <c r="C36" s="1717"/>
      <c r="D36" s="1717"/>
      <c r="E36" s="1738"/>
      <c r="F36" s="595" t="s">
        <v>128</v>
      </c>
      <c r="G36" s="458" t="s">
        <v>202</v>
      </c>
      <c r="H36" s="530">
        <v>0.75</v>
      </c>
      <c r="I36" s="3"/>
    </row>
    <row r="37" spans="1:9" x14ac:dyDescent="0.25">
      <c r="A37" s="1659" t="s">
        <v>144</v>
      </c>
      <c r="B37" s="1660"/>
      <c r="C37" s="1660"/>
      <c r="D37" s="1660"/>
      <c r="E37" s="1744"/>
      <c r="F37" s="595" t="s">
        <v>128</v>
      </c>
      <c r="G37" s="62"/>
      <c r="H37" s="413"/>
      <c r="I37" s="3"/>
    </row>
    <row r="38" spans="1:9" x14ac:dyDescent="0.25">
      <c r="A38" s="1659" t="s">
        <v>115</v>
      </c>
      <c r="B38" s="1660"/>
      <c r="C38" s="1660"/>
      <c r="D38" s="1660"/>
      <c r="E38" s="1744"/>
      <c r="F38" s="595" t="s">
        <v>128</v>
      </c>
      <c r="G38" s="13"/>
      <c r="H38" s="413"/>
      <c r="I38" s="3"/>
    </row>
    <row r="39" spans="1:9" ht="15.6" thickBot="1" x14ac:dyDescent="0.3">
      <c r="A39" s="1780" t="s">
        <v>116</v>
      </c>
      <c r="B39" s="1781"/>
      <c r="C39" s="1781"/>
      <c r="D39" s="1781"/>
      <c r="E39" s="1782"/>
      <c r="F39" s="595" t="s">
        <v>128</v>
      </c>
      <c r="G39" s="318"/>
      <c r="H39" s="361">
        <f>'Input Data'!H39</f>
        <v>965000</v>
      </c>
      <c r="I39" s="3"/>
    </row>
    <row r="40" spans="1:9" ht="69.75" customHeight="1" thickTop="1" thickBot="1" x14ac:dyDescent="0.3">
      <c r="A40" s="1762" t="s">
        <v>139</v>
      </c>
      <c r="B40" s="1763"/>
      <c r="C40" s="1763"/>
      <c r="D40" s="1763"/>
      <c r="E40" s="663" t="s">
        <v>620</v>
      </c>
      <c r="F40" s="1751" t="s">
        <v>621</v>
      </c>
      <c r="G40" s="1778" t="s">
        <v>615</v>
      </c>
      <c r="H40" s="1734" t="s">
        <v>102</v>
      </c>
      <c r="I40" s="4"/>
    </row>
    <row r="41" spans="1:9" ht="21.75" customHeight="1" thickBot="1" x14ac:dyDescent="0.3">
      <c r="A41" s="1748" t="s">
        <v>148</v>
      </c>
      <c r="B41" s="1749"/>
      <c r="C41" s="1750"/>
      <c r="D41" s="739" t="s">
        <v>248</v>
      </c>
      <c r="E41" s="665">
        <v>1</v>
      </c>
      <c r="F41" s="1752"/>
      <c r="G41" s="1779"/>
      <c r="H41" s="1735"/>
      <c r="I41" s="4"/>
    </row>
    <row r="42" spans="1:9" ht="44.25" customHeight="1" x14ac:dyDescent="0.25">
      <c r="A42" s="1759" t="s">
        <v>145</v>
      </c>
      <c r="B42" s="1760"/>
      <c r="C42" s="1760"/>
      <c r="D42" s="1760"/>
      <c r="E42" s="740">
        <v>800000</v>
      </c>
      <c r="F42" s="740">
        <v>800000</v>
      </c>
      <c r="G42" s="741">
        <v>800000</v>
      </c>
      <c r="H42" s="1273">
        <f>IF($F$32&lt;5,E42,IF($F$32=5,F42,IF($F$32=6,G42)))</f>
        <v>800000</v>
      </c>
      <c r="I42" s="4"/>
    </row>
    <row r="43" spans="1:9" ht="30.75" customHeight="1" x14ac:dyDescent="0.25">
      <c r="A43" s="1742" t="s">
        <v>103</v>
      </c>
      <c r="B43" s="1761"/>
      <c r="C43" s="1761"/>
      <c r="D43" s="1761"/>
      <c r="E43" s="742">
        <v>600000</v>
      </c>
      <c r="F43" s="742">
        <v>600000</v>
      </c>
      <c r="G43" s="743">
        <v>600000</v>
      </c>
      <c r="H43" s="1274">
        <f t="shared" ref="H43:H45" si="0">IF($F$32&lt;5,E43,IF($F$32=5,F43,IF($F$32=6,G43)))</f>
        <v>600000</v>
      </c>
    </row>
    <row r="44" spans="1:9" ht="30.75" customHeight="1" x14ac:dyDescent="0.25">
      <c r="A44" s="1742" t="s">
        <v>104</v>
      </c>
      <c r="B44" s="1743"/>
      <c r="C44" s="1743"/>
      <c r="D44" s="1743"/>
      <c r="E44" s="742">
        <v>200000</v>
      </c>
      <c r="F44" s="742">
        <v>200000</v>
      </c>
      <c r="G44" s="743">
        <v>200000</v>
      </c>
      <c r="H44" s="1274">
        <f t="shared" si="0"/>
        <v>200000</v>
      </c>
    </row>
    <row r="45" spans="1:9" ht="39.75" customHeight="1" thickBot="1" x14ac:dyDescent="0.3">
      <c r="A45" s="1765" t="s">
        <v>138</v>
      </c>
      <c r="B45" s="1766"/>
      <c r="C45" s="1766"/>
      <c r="D45" s="1766"/>
      <c r="E45" s="744">
        <v>150000</v>
      </c>
      <c r="F45" s="744">
        <v>150000</v>
      </c>
      <c r="G45" s="745">
        <v>150000</v>
      </c>
      <c r="H45" s="1275">
        <f t="shared" si="0"/>
        <v>150000</v>
      </c>
    </row>
    <row r="46" spans="1:9" ht="33.75" customHeight="1" thickBot="1" x14ac:dyDescent="0.3">
      <c r="A46" s="1767" t="s">
        <v>151</v>
      </c>
      <c r="B46" s="1768"/>
      <c r="C46" s="1768"/>
      <c r="D46" s="1768"/>
      <c r="E46" s="746">
        <v>1750000</v>
      </c>
      <c r="F46" s="746">
        <v>1750000</v>
      </c>
      <c r="G46" s="747">
        <v>1750000</v>
      </c>
      <c r="H46" s="448">
        <f>SUM(H42:H45)</f>
        <v>1750000</v>
      </c>
    </row>
    <row r="47" spans="1:9" ht="27" customHeight="1" thickTop="1" thickBot="1" x14ac:dyDescent="0.3">
      <c r="A47" s="1634" t="s">
        <v>297</v>
      </c>
      <c r="B47" s="1635"/>
      <c r="C47" s="1635"/>
      <c r="D47" s="1635"/>
      <c r="E47" s="1636"/>
      <c r="F47" s="748"/>
      <c r="G47" s="749" t="s">
        <v>297</v>
      </c>
      <c r="H47" s="449"/>
    </row>
    <row r="48" spans="1:9" ht="32.25" customHeight="1" thickBot="1" x14ac:dyDescent="0.3">
      <c r="A48" s="1630" t="s">
        <v>149</v>
      </c>
      <c r="B48" s="1631"/>
      <c r="C48" s="1631"/>
      <c r="D48" s="1631"/>
      <c r="E48" s="750">
        <v>5000000</v>
      </c>
      <c r="F48" s="750">
        <v>5000000</v>
      </c>
      <c r="G48" s="736">
        <v>5000000</v>
      </c>
      <c r="H48" s="447">
        <f t="shared" ref="H48" si="1">IF($F$32&lt;5,E48,IF($F$32=5,F48,IF($F$32=6,G48)))</f>
        <v>5000000</v>
      </c>
    </row>
    <row r="49" spans="1:8" ht="53.25" customHeight="1" thickTop="1" thickBot="1" x14ac:dyDescent="0.3">
      <c r="A49" s="1650" t="s">
        <v>134</v>
      </c>
      <c r="B49" s="1651"/>
      <c r="C49" s="1651"/>
      <c r="D49" s="1651"/>
      <c r="E49" s="1651"/>
      <c r="F49" s="1749"/>
      <c r="G49" s="501" t="s">
        <v>622</v>
      </c>
      <c r="H49" s="498" t="s">
        <v>102</v>
      </c>
    </row>
    <row r="50" spans="1:8" ht="36.75" customHeight="1" x14ac:dyDescent="0.25">
      <c r="A50" s="1646" t="s">
        <v>250</v>
      </c>
      <c r="B50" s="1647"/>
      <c r="C50" s="1647"/>
      <c r="D50" s="1647"/>
      <c r="E50" s="1648"/>
      <c r="F50" s="1649"/>
      <c r="G50" s="734">
        <v>1000000</v>
      </c>
      <c r="H50" s="447">
        <f>IF($F$32&gt;4,$G$50,0)</f>
        <v>1000000</v>
      </c>
    </row>
    <row r="51" spans="1:8" ht="36.75" customHeight="1" thickBot="1" x14ac:dyDescent="0.3">
      <c r="A51" s="1769" t="s">
        <v>249</v>
      </c>
      <c r="B51" s="1770"/>
      <c r="C51" s="1770"/>
      <c r="D51" s="1770"/>
      <c r="E51" s="1770"/>
      <c r="F51" s="1770"/>
      <c r="G51" s="735">
        <v>750000</v>
      </c>
      <c r="H51" s="499">
        <f>IF($F$32&gt;4,$G$51,0)</f>
        <v>750000</v>
      </c>
    </row>
    <row r="52" spans="1:8" ht="30" customHeight="1" thickTop="1" thickBot="1" x14ac:dyDescent="0.3">
      <c r="A52" s="1640" t="s">
        <v>150</v>
      </c>
      <c r="B52" s="1641"/>
      <c r="C52" s="1641"/>
      <c r="D52" s="1641"/>
      <c r="E52" s="1642"/>
      <c r="F52" s="1642"/>
      <c r="G52" s="737">
        <v>1750000</v>
      </c>
      <c r="H52" s="500">
        <f>IF($F$32&gt;4,$G$52,0)</f>
        <v>1750000</v>
      </c>
    </row>
    <row r="53" spans="1:8" ht="41.25" customHeight="1" thickTop="1" thickBot="1" x14ac:dyDescent="0.3">
      <c r="A53" s="1637" t="s">
        <v>140</v>
      </c>
      <c r="B53" s="1638"/>
      <c r="C53" s="1638"/>
      <c r="D53" s="1638"/>
      <c r="E53" s="1639"/>
      <c r="F53" s="1639"/>
      <c r="G53" s="738">
        <v>5000000</v>
      </c>
      <c r="H53" s="499">
        <f>IF($F$32&gt;4,$G$53,0)</f>
        <v>5000000</v>
      </c>
    </row>
    <row r="54" spans="1:8" ht="15.6" thickTop="1" x14ac:dyDescent="0.25">
      <c r="G54" s="7"/>
    </row>
    <row r="63" spans="1:8" ht="18.75" customHeight="1" x14ac:dyDescent="0.25"/>
    <row r="70" ht="25.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112" spans="1:9" x14ac:dyDescent="0.25">
      <c r="A112" s="1"/>
      <c r="B112" s="1"/>
      <c r="C112" s="1"/>
      <c r="D112" s="1"/>
      <c r="E112" s="1"/>
      <c r="F112" s="1"/>
      <c r="G112" s="1"/>
      <c r="H112" s="1"/>
      <c r="I112" s="1"/>
    </row>
    <row r="113" spans="1:9" x14ac:dyDescent="0.25">
      <c r="A113" s="1626"/>
      <c r="B113" s="1627"/>
      <c r="C113" s="1627"/>
      <c r="D113" s="1627"/>
      <c r="E113" s="1627"/>
      <c r="F113" s="1627"/>
      <c r="G113" s="1627"/>
      <c r="H113" s="1627"/>
      <c r="I113" s="1627"/>
    </row>
  </sheetData>
  <sheetProtection algorithmName="SHA-512" hashValue="/VWxTcEFDHatTwEmJb9BDNK5rTCuERlX3IwfXVzk8Lb22aN7lhE6B5Juwk7TEl+xuYa6HPKA/hjauB8uGYLZ+Q==" saltValue="8xUQdVJldgyXrANLn9R4nA==" spinCount="100000" sheet="1" objects="1" scenarios="1" formatCells="0" formatColumns="0" formatRows="0"/>
  <mergeCells count="47">
    <mergeCell ref="A2:D3"/>
    <mergeCell ref="D17:E17"/>
    <mergeCell ref="D15:F15"/>
    <mergeCell ref="G40:G41"/>
    <mergeCell ref="A38:E38"/>
    <mergeCell ref="A39:E39"/>
    <mergeCell ref="G6:H6"/>
    <mergeCell ref="G10:H10"/>
    <mergeCell ref="D12:H12"/>
    <mergeCell ref="D14:F14"/>
    <mergeCell ref="D13:H13"/>
    <mergeCell ref="G27:H27"/>
    <mergeCell ref="G28:H28"/>
    <mergeCell ref="D32:E32"/>
    <mergeCell ref="A22:E25"/>
    <mergeCell ref="G24:H24"/>
    <mergeCell ref="A113:I113"/>
    <mergeCell ref="A45:D45"/>
    <mergeCell ref="A48:D48"/>
    <mergeCell ref="A46:D46"/>
    <mergeCell ref="A47:E47"/>
    <mergeCell ref="A53:F53"/>
    <mergeCell ref="A52:F52"/>
    <mergeCell ref="A51:F51"/>
    <mergeCell ref="A50:F50"/>
    <mergeCell ref="A49:F49"/>
    <mergeCell ref="A1:H1"/>
    <mergeCell ref="E4:H4"/>
    <mergeCell ref="A44:D44"/>
    <mergeCell ref="G21:H21"/>
    <mergeCell ref="A37:E37"/>
    <mergeCell ref="G23:H23"/>
    <mergeCell ref="E2:H3"/>
    <mergeCell ref="A41:C41"/>
    <mergeCell ref="F40:F41"/>
    <mergeCell ref="G18:H20"/>
    <mergeCell ref="A42:D42"/>
    <mergeCell ref="A43:D43"/>
    <mergeCell ref="A40:D40"/>
    <mergeCell ref="G26:H26"/>
    <mergeCell ref="G29:H29"/>
    <mergeCell ref="G30:H30"/>
    <mergeCell ref="G25:H25"/>
    <mergeCell ref="H40:H41"/>
    <mergeCell ref="G31:H31"/>
    <mergeCell ref="G22:H22"/>
    <mergeCell ref="A36:E36"/>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 type="list" allowBlank="1" showInputMessage="1" showErrorMessage="1" sqref="D32:E32">
      <formula1>"INCEPTION,PRELIMINARY DESIGN - CONCEPT &amp; VIABILITY, DETAIL DESIGN, DOCUMENT &amp; PROCUREMENT, CONTRACT ADMINISTRATION &amp; INSPECTION, CLOSE-OUT"</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O126"/>
  <sheetViews>
    <sheetView view="pageBreakPreview" zoomScaleNormal="100" zoomScaleSheetLayoutView="100" workbookViewId="0">
      <selection activeCell="O2" sqref="O2"/>
    </sheetView>
  </sheetViews>
  <sheetFormatPr defaultRowHeight="15" x14ac:dyDescent="0.25"/>
  <cols>
    <col min="1" max="1" width="15.75" customWidth="1"/>
    <col min="2" max="2" width="13.75" customWidth="1"/>
    <col min="3" max="3" width="9.33203125" bestFit="1" customWidth="1"/>
    <col min="5" max="5" width="4.08203125" customWidth="1"/>
    <col min="6" max="6" width="2.6640625" customWidth="1"/>
    <col min="7" max="7" width="8" customWidth="1"/>
    <col min="8" max="8" width="8.58203125" customWidth="1"/>
    <col min="9" max="9" width="10.4140625" customWidth="1"/>
    <col min="10" max="10" width="3.08203125" customWidth="1"/>
    <col min="11" max="11" width="15.58203125" customWidth="1"/>
    <col min="12" max="12" width="3.75" customWidth="1"/>
    <col min="13" max="13" width="11.75" customWidth="1"/>
    <col min="14" max="14" width="8.08203125" customWidth="1"/>
    <col min="15" max="15" width="16.25" customWidth="1"/>
  </cols>
  <sheetData>
    <row r="1" spans="1:15" ht="42.75" customHeight="1" thickTop="1" x14ac:dyDescent="0.25">
      <c r="A1" s="402"/>
      <c r="B1" s="403"/>
      <c r="C1" s="404"/>
      <c r="D1" s="365"/>
      <c r="E1" s="364"/>
      <c r="F1" s="364"/>
      <c r="G1" s="365"/>
      <c r="H1" s="365"/>
      <c r="I1" s="339" t="s">
        <v>101</v>
      </c>
      <c r="J1" s="366"/>
      <c r="K1" s="366"/>
      <c r="L1" s="366"/>
      <c r="M1" s="366"/>
      <c r="N1" s="366"/>
      <c r="O1" s="367"/>
    </row>
    <row r="2" spans="1:15" ht="29.25" customHeight="1" x14ac:dyDescent="0.25">
      <c r="A2" s="480" t="s">
        <v>284</v>
      </c>
      <c r="B2" s="406"/>
      <c r="C2" s="62"/>
      <c r="D2" s="1896" t="s">
        <v>245</v>
      </c>
      <c r="E2" s="1897"/>
      <c r="F2" s="1897"/>
      <c r="G2" s="1897"/>
      <c r="H2" s="1897"/>
      <c r="I2" s="1897"/>
      <c r="J2" s="1897"/>
      <c r="K2" s="1898"/>
      <c r="L2" s="472" t="str">
        <f>IF('Input Data'!$E$10="e",'Input Data'!E4,"USE OTHER INVOICE")</f>
        <v>USE OTHER INVOICE</v>
      </c>
      <c r="M2" s="368"/>
      <c r="N2" s="369"/>
      <c r="O2" s="1327" t="str">
        <f>'Input Data'!H5</f>
        <v>Version: 1.0  2024-07</v>
      </c>
    </row>
    <row r="3" spans="1:15" ht="13.5" customHeight="1" x14ac:dyDescent="0.25">
      <c r="A3" s="405"/>
      <c r="B3" s="406"/>
      <c r="C3" s="62"/>
      <c r="D3" s="450"/>
      <c r="E3" s="451"/>
      <c r="F3" s="451"/>
      <c r="G3" s="451"/>
      <c r="H3" s="451"/>
      <c r="I3" s="451"/>
      <c r="J3" s="451"/>
      <c r="K3" s="472"/>
      <c r="L3" s="368"/>
      <c r="M3" s="368"/>
      <c r="N3" s="369"/>
      <c r="O3" s="370"/>
    </row>
    <row r="4" spans="1:15" ht="17.25" customHeight="1" x14ac:dyDescent="0.25">
      <c r="A4" s="312"/>
      <c r="B4" s="62"/>
      <c r="C4" s="62"/>
      <c r="D4" s="62"/>
      <c r="E4" s="62"/>
      <c r="F4" s="123"/>
      <c r="G4" s="123"/>
      <c r="H4" s="62"/>
      <c r="I4" s="121" t="s">
        <v>586</v>
      </c>
      <c r="J4" s="1893">
        <f>'Input Data'!D29</f>
        <v>0</v>
      </c>
      <c r="K4" s="1777"/>
      <c r="L4" s="62"/>
      <c r="M4" s="121" t="s">
        <v>107</v>
      </c>
      <c r="N4" s="1894">
        <f>'Input Data'!D28</f>
        <v>0</v>
      </c>
      <c r="O4" s="1895"/>
    </row>
    <row r="5" spans="1:15" ht="15" customHeight="1" thickBot="1" x14ac:dyDescent="0.3">
      <c r="A5" s="348" t="s">
        <v>209</v>
      </c>
      <c r="B5" s="351">
        <f>'Input Data'!D7</f>
        <v>0</v>
      </c>
      <c r="C5" s="62"/>
      <c r="D5" s="62"/>
      <c r="E5" s="456" t="s">
        <v>219</v>
      </c>
      <c r="F5" s="1892">
        <f>'Input Data'!D8</f>
        <v>0</v>
      </c>
      <c r="G5" s="1830"/>
      <c r="H5" s="407"/>
      <c r="I5" s="62"/>
      <c r="J5" s="62"/>
      <c r="K5" s="477"/>
      <c r="L5" s="121" t="s">
        <v>193</v>
      </c>
      <c r="M5" s="1829">
        <f>'Input Data'!D9</f>
        <v>0</v>
      </c>
      <c r="N5" s="1830"/>
      <c r="O5" s="1891"/>
    </row>
    <row r="6" spans="1:15" ht="20.25" customHeight="1" thickTop="1" thickBot="1" x14ac:dyDescent="0.3">
      <c r="A6" s="362" t="s">
        <v>19</v>
      </c>
      <c r="B6" s="1824">
        <f>'Input Data'!$D$12</f>
        <v>0</v>
      </c>
      <c r="C6" s="1825"/>
      <c r="D6" s="1825"/>
      <c r="E6" s="1826"/>
      <c r="F6" s="1826"/>
      <c r="G6" s="1826"/>
      <c r="H6" s="1825"/>
      <c r="I6" s="1825"/>
      <c r="J6" s="1825"/>
      <c r="K6" s="1825"/>
      <c r="L6" s="1827"/>
      <c r="M6" s="1828"/>
      <c r="N6" s="1828"/>
      <c r="O6" s="354"/>
    </row>
    <row r="7" spans="1:15" ht="18.75" customHeight="1" thickTop="1" x14ac:dyDescent="0.25">
      <c r="A7" s="346" t="s">
        <v>174</v>
      </c>
      <c r="B7" s="1832" t="str">
        <f>'Input Data'!G18</f>
        <v>NATIONAL DEPARTMENT OF PUBLIC WORKS</v>
      </c>
      <c r="C7" s="1833"/>
      <c r="D7" s="1833"/>
      <c r="E7" s="1833"/>
      <c r="F7" s="1833"/>
      <c r="G7" s="1833"/>
      <c r="H7" s="62"/>
      <c r="I7" s="121" t="s">
        <v>181</v>
      </c>
      <c r="J7" s="454">
        <f>'Input Data'!D6</f>
        <v>0</v>
      </c>
      <c r="K7" s="62"/>
      <c r="L7" s="12"/>
      <c r="M7" s="270" t="s">
        <v>180</v>
      </c>
      <c r="N7" s="475" t="s">
        <v>285</v>
      </c>
      <c r="O7" s="413"/>
    </row>
    <row r="8" spans="1:15" ht="15" customHeight="1" x14ac:dyDescent="0.25">
      <c r="A8" s="346" t="s">
        <v>18</v>
      </c>
      <c r="B8" s="1834">
        <f>'Input Data'!G21</f>
        <v>0</v>
      </c>
      <c r="C8" s="1835"/>
      <c r="D8" s="1835"/>
      <c r="E8" s="1831"/>
      <c r="F8" s="1808"/>
      <c r="G8" s="1808"/>
      <c r="H8" s="62"/>
      <c r="I8" s="121" t="s">
        <v>171</v>
      </c>
      <c r="J8" s="408">
        <f>'Input Data'!G22</f>
        <v>0</v>
      </c>
      <c r="K8" s="409"/>
      <c r="L8" s="410"/>
      <c r="M8" s="62"/>
      <c r="N8" s="121" t="s">
        <v>190</v>
      </c>
      <c r="O8" s="352">
        <f>'Input Data'!G23</f>
        <v>0</v>
      </c>
    </row>
    <row r="9" spans="1:15" ht="15" customHeight="1" x14ac:dyDescent="0.25">
      <c r="A9" s="346" t="s">
        <v>254</v>
      </c>
      <c r="B9" s="1803" t="s">
        <v>335</v>
      </c>
      <c r="C9" s="1804"/>
      <c r="D9" s="1804"/>
      <c r="E9" s="1804"/>
      <c r="F9" s="1804"/>
      <c r="G9" s="1804"/>
      <c r="H9" s="121" t="s">
        <v>192</v>
      </c>
      <c r="I9" s="1803">
        <f>'Input Data'!G27</f>
        <v>0</v>
      </c>
      <c r="J9" s="1804"/>
      <c r="K9" s="1804"/>
      <c r="L9" s="1804"/>
      <c r="M9" s="1804"/>
      <c r="N9" s="121" t="s">
        <v>190</v>
      </c>
      <c r="O9" s="352">
        <f>'Input Data'!G28</f>
        <v>0</v>
      </c>
    </row>
    <row r="10" spans="1:15" ht="15" customHeight="1" x14ac:dyDescent="0.25">
      <c r="A10" s="346" t="s">
        <v>190</v>
      </c>
      <c r="B10" s="1805">
        <f>'Input Data'!G28</f>
        <v>0</v>
      </c>
      <c r="C10" s="1804"/>
      <c r="D10" s="444"/>
      <c r="E10" s="445"/>
      <c r="F10" s="62"/>
      <c r="G10" s="62"/>
      <c r="H10" s="121" t="s">
        <v>182</v>
      </c>
      <c r="I10" s="1803">
        <f>'Input Data'!G29</f>
        <v>0</v>
      </c>
      <c r="J10" s="1804"/>
      <c r="K10" s="1804"/>
      <c r="L10" s="14" t="s">
        <v>186</v>
      </c>
      <c r="M10" s="350">
        <f>'Input Data'!G30</f>
        <v>0</v>
      </c>
      <c r="N10" s="121" t="s">
        <v>291</v>
      </c>
      <c r="O10" s="476">
        <f>'Input Data'!G9</f>
        <v>0</v>
      </c>
    </row>
    <row r="11" spans="1:15" ht="15" customHeight="1" thickBot="1" x14ac:dyDescent="0.3">
      <c r="A11" s="348" t="s">
        <v>187</v>
      </c>
      <c r="B11" s="1829">
        <f>'Input Data'!G6</f>
        <v>0</v>
      </c>
      <c r="C11" s="1822"/>
      <c r="D11" s="266" t="s">
        <v>182</v>
      </c>
      <c r="E11" s="1829">
        <f>'Input Data'!G7</f>
        <v>0</v>
      </c>
      <c r="F11" s="1829"/>
      <c r="G11" s="1829"/>
      <c r="H11" s="266" t="s">
        <v>194</v>
      </c>
      <c r="I11" s="1829">
        <f>'Input Data'!G8</f>
        <v>0</v>
      </c>
      <c r="J11" s="1830"/>
      <c r="K11" s="266" t="s">
        <v>173</v>
      </c>
      <c r="L11" s="1821">
        <f>'Input Data'!G10</f>
        <v>0</v>
      </c>
      <c r="M11" s="1822"/>
      <c r="N11" s="1822"/>
      <c r="O11" s="1823"/>
    </row>
    <row r="12" spans="1:15" ht="23.25" customHeight="1" thickTop="1" x14ac:dyDescent="0.25">
      <c r="A12" s="363" t="s">
        <v>247</v>
      </c>
      <c r="B12" s="344"/>
      <c r="C12" s="12"/>
      <c r="D12" s="63"/>
      <c r="E12" s="344"/>
      <c r="F12" s="344"/>
      <c r="G12" s="344"/>
      <c r="H12" s="14"/>
      <c r="I12" s="344"/>
      <c r="J12" s="62"/>
      <c r="K12" s="121"/>
      <c r="L12" s="349"/>
      <c r="M12" s="12"/>
      <c r="N12" s="12"/>
      <c r="O12" s="26"/>
    </row>
    <row r="13" spans="1:15" ht="15" customHeight="1" x14ac:dyDescent="0.25">
      <c r="A13" s="346" t="s">
        <v>292</v>
      </c>
      <c r="B13" s="1840">
        <f>'Input Data'!$D$13</f>
        <v>0</v>
      </c>
      <c r="C13" s="1841"/>
      <c r="D13" s="1841"/>
      <c r="E13" s="1841"/>
      <c r="F13" s="1841"/>
      <c r="G13" s="1841"/>
      <c r="H13" s="1841"/>
      <c r="I13" s="1841"/>
      <c r="J13" s="1841"/>
      <c r="K13" s="1841"/>
      <c r="L13" s="1841"/>
      <c r="M13" s="270" t="s">
        <v>196</v>
      </c>
      <c r="N13" s="1803">
        <f>'Input Data'!D31</f>
        <v>0</v>
      </c>
      <c r="O13" s="1787"/>
    </row>
    <row r="14" spans="1:15" ht="15" customHeight="1" x14ac:dyDescent="0.25">
      <c r="A14" s="346" t="s">
        <v>133</v>
      </c>
      <c r="B14" s="1842">
        <f>'Input Data'!$D$14</f>
        <v>0</v>
      </c>
      <c r="C14" s="1843"/>
      <c r="D14" s="1843"/>
      <c r="E14" s="1843"/>
      <c r="F14" s="1843"/>
      <c r="G14" s="1843"/>
      <c r="H14" s="1844"/>
      <c r="I14" s="1844"/>
      <c r="J14" s="1844"/>
      <c r="K14" s="1844"/>
      <c r="L14" s="1837"/>
      <c r="M14" s="1837"/>
      <c r="N14" s="121" t="s">
        <v>190</v>
      </c>
      <c r="O14" s="473">
        <f>'Input Data'!H14</f>
        <v>0</v>
      </c>
    </row>
    <row r="15" spans="1:15" ht="15" customHeight="1" x14ac:dyDescent="0.25">
      <c r="A15" s="347" t="s">
        <v>254</v>
      </c>
      <c r="B15" s="1805">
        <f>'Input Data'!D15</f>
        <v>0</v>
      </c>
      <c r="C15" s="1837"/>
      <c r="D15" s="1837"/>
      <c r="E15" s="1837"/>
      <c r="F15" s="1837"/>
      <c r="G15" s="1837"/>
      <c r="H15" s="1837"/>
      <c r="I15" s="1837"/>
      <c r="J15" s="1837"/>
      <c r="K15" s="1837"/>
      <c r="L15" s="1837"/>
      <c r="M15" s="1837"/>
      <c r="N15" s="121" t="s">
        <v>190</v>
      </c>
      <c r="O15" s="474">
        <f>'Input Data'!H15</f>
        <v>0</v>
      </c>
    </row>
    <row r="16" spans="1:15" ht="15" customHeight="1" x14ac:dyDescent="0.25">
      <c r="A16" s="1806" t="s">
        <v>93</v>
      </c>
      <c r="B16" s="1807"/>
      <c r="C16" s="1809">
        <f>IF('Input Data'!E18="None","NOT REGISTERED FOR VAT",'Input Data'!D18)</f>
        <v>0</v>
      </c>
      <c r="D16" s="1810"/>
      <c r="E16" s="1810"/>
      <c r="F16" s="1811"/>
      <c r="G16" s="412"/>
      <c r="H16" s="412"/>
      <c r="I16" s="62"/>
      <c r="J16" s="62"/>
      <c r="K16" s="62"/>
      <c r="L16" s="62"/>
      <c r="M16" s="62"/>
      <c r="N16" s="62"/>
      <c r="O16" s="413"/>
    </row>
    <row r="17" spans="1:15" ht="15" customHeight="1" x14ac:dyDescent="0.25">
      <c r="A17" s="1848" t="s">
        <v>126</v>
      </c>
      <c r="B17" s="1807"/>
      <c r="C17" s="1845">
        <f>'Input Data'!D19</f>
        <v>0</v>
      </c>
      <c r="D17" s="1846"/>
      <c r="E17" s="1846"/>
      <c r="F17" s="1847"/>
      <c r="G17" s="14"/>
      <c r="H17" s="1838"/>
      <c r="I17" s="1887"/>
      <c r="J17" s="12"/>
      <c r="K17" s="121" t="s">
        <v>182</v>
      </c>
      <c r="L17" s="1805">
        <f>'Input Data'!D16</f>
        <v>0</v>
      </c>
      <c r="M17" s="1805"/>
      <c r="N17" s="1805"/>
      <c r="O17" s="26"/>
    </row>
    <row r="18" spans="1:15" ht="15" customHeight="1" x14ac:dyDescent="0.25">
      <c r="A18" s="1806" t="s">
        <v>28</v>
      </c>
      <c r="B18" s="1807"/>
      <c r="C18" s="1814">
        <f>'Input Data'!$D$20</f>
        <v>0</v>
      </c>
      <c r="D18" s="1815"/>
      <c r="E18" s="416"/>
      <c r="F18" s="417"/>
      <c r="G18" s="14"/>
      <c r="H18" s="1838"/>
      <c r="I18" s="1839"/>
      <c r="J18" s="12"/>
      <c r="K18" s="121" t="s">
        <v>195</v>
      </c>
      <c r="L18" s="1836">
        <f>'Input Data'!F16</f>
        <v>0</v>
      </c>
      <c r="M18" s="1837"/>
      <c r="N18" s="1837"/>
      <c r="O18" s="413"/>
    </row>
    <row r="19" spans="1:15" ht="15" customHeight="1" x14ac:dyDescent="0.25">
      <c r="A19" s="1806" t="s">
        <v>259</v>
      </c>
      <c r="B19" s="1808"/>
      <c r="C19" s="1812">
        <f>'Input Data'!D30</f>
        <v>0</v>
      </c>
      <c r="D19" s="1813"/>
      <c r="E19" s="1813"/>
      <c r="F19" s="1813"/>
      <c r="G19" s="1775"/>
      <c r="H19" s="1838"/>
      <c r="I19" s="1839"/>
      <c r="J19" s="12"/>
      <c r="K19" s="121" t="s">
        <v>186</v>
      </c>
      <c r="L19" s="1889">
        <f>'Input Data'!H16</f>
        <v>0</v>
      </c>
      <c r="M19" s="1841"/>
      <c r="N19" s="1841"/>
      <c r="O19" s="413"/>
    </row>
    <row r="20" spans="1:15" ht="15" customHeight="1" thickBot="1" x14ac:dyDescent="0.3">
      <c r="A20" s="1849" t="s">
        <v>29</v>
      </c>
      <c r="B20" s="1850"/>
      <c r="C20" s="1871" t="str">
        <f>'Input Data'!$D$26</f>
        <v>PERCENTAGE BASED FEES</v>
      </c>
      <c r="D20" s="1870"/>
      <c r="E20" s="1870"/>
      <c r="F20" s="418"/>
      <c r="G20" s="28"/>
      <c r="H20" s="1869"/>
      <c r="I20" s="1870"/>
      <c r="J20" s="11"/>
      <c r="K20" s="266" t="s">
        <v>178</v>
      </c>
      <c r="L20" s="1890">
        <f>'Input Data'!D17</f>
        <v>0</v>
      </c>
      <c r="M20" s="1830"/>
      <c r="N20" s="1830"/>
      <c r="O20" s="1891"/>
    </row>
    <row r="21" spans="1:15" ht="16.2" thickTop="1" x14ac:dyDescent="0.25">
      <c r="A21" s="25" t="s">
        <v>201</v>
      </c>
      <c r="B21" s="12"/>
      <c r="C21" s="1865" t="str">
        <f>'Input Data'!D32</f>
        <v>CONTRACT ADMINISTRATION &amp; INSPECTION</v>
      </c>
      <c r="D21" s="1866"/>
      <c r="E21" s="1867"/>
      <c r="F21" s="1867"/>
      <c r="G21" s="1867"/>
      <c r="H21" s="1867"/>
      <c r="I21" s="1868"/>
      <c r="J21" s="1888" t="str">
        <f>IF('Input Data'!$E$42=1,"ESTIMATED TOTAL VALUE OF ENGINEERING WORK","TOTAL VALUE OF ENGINEERING WORK")</f>
        <v>TOTAL VALUE OF ENGINEERING WORK</v>
      </c>
      <c r="K21" s="1887"/>
      <c r="L21" s="1887"/>
      <c r="M21" s="1887"/>
      <c r="N21" s="1887"/>
      <c r="O21" s="700">
        <f>IF('Input Data'!E10="e",IF('Input Data'!$E$42=1,80%*'Input Data'!$H$47,'Input Data'!$H$47),0)</f>
        <v>0</v>
      </c>
    </row>
    <row r="22" spans="1:15" ht="27" customHeight="1" thickBot="1" x14ac:dyDescent="0.3">
      <c r="A22" s="1883"/>
      <c r="B22" s="1884"/>
      <c r="C22" s="81"/>
      <c r="D22" s="81"/>
      <c r="E22" s="81"/>
      <c r="F22" s="81"/>
      <c r="G22" s="81"/>
      <c r="H22" s="28"/>
      <c r="I22" s="248"/>
      <c r="J22" s="1885" t="str">
        <f>IF('Input Data'!$E$42=1,"ESTIMATED TOTAL VALUE OF PROJECT","TOTAL VALUE OF PROJECT")</f>
        <v>TOTAL VALUE OF PROJECT</v>
      </c>
      <c r="K22" s="1886"/>
      <c r="L22" s="1886"/>
      <c r="M22" s="1886"/>
      <c r="N22" s="1886"/>
      <c r="O22" s="701">
        <f>IF('Input Data'!E10="e",IF('Input Data'!$E$42=1,80%*'Input Data'!$H$49,'Input Data'!$H$49),0)</f>
        <v>0</v>
      </c>
    </row>
    <row r="23" spans="1:15" ht="16.2" thickTop="1" thickBot="1" x14ac:dyDescent="0.3">
      <c r="A23" s="264" t="s">
        <v>179</v>
      </c>
      <c r="B23" s="12"/>
      <c r="C23" s="13"/>
      <c r="D23" s="255"/>
      <c r="E23" s="255"/>
      <c r="F23" s="255"/>
      <c r="G23" s="256"/>
      <c r="H23" s="257"/>
      <c r="I23" s="66">
        <f>IF('Input Data'!E10="E",VLOOKUP($O$21,SCALE_EE,3),0)</f>
        <v>0</v>
      </c>
      <c r="J23" s="267" t="s">
        <v>97</v>
      </c>
      <c r="K23" s="268">
        <f>IF('Input Data'!E10="E",VLOOKUP($O$21,SCALE_EE,4),0)</f>
        <v>0</v>
      </c>
      <c r="L23" s="67" t="s">
        <v>1</v>
      </c>
      <c r="M23" s="68">
        <f>IF('Input Data'!E10="E",O21-(VLOOKUP($O$21,SCALE_EE,1)),0)</f>
        <v>0</v>
      </c>
      <c r="N23" s="67" t="s">
        <v>3</v>
      </c>
      <c r="O23" s="702">
        <f>I23+K23*M23</f>
        <v>0</v>
      </c>
    </row>
    <row r="24" spans="1:15" ht="15.6" thickBot="1" x14ac:dyDescent="0.3">
      <c r="A24" s="317"/>
      <c r="B24" s="11"/>
      <c r="C24" s="11"/>
      <c r="D24" s="11"/>
      <c r="E24" s="11"/>
      <c r="F24" s="11"/>
      <c r="G24" s="318"/>
      <c r="H24" s="319"/>
      <c r="I24" s="320"/>
      <c r="J24" s="320"/>
      <c r="K24" s="321"/>
      <c r="L24" s="322"/>
      <c r="M24" s="323" t="s">
        <v>26</v>
      </c>
      <c r="N24" s="324"/>
      <c r="O24" s="703">
        <f>O23</f>
        <v>0</v>
      </c>
    </row>
    <row r="25" spans="1:15" ht="9.75" customHeight="1" thickTop="1" thickBot="1" x14ac:dyDescent="0.3">
      <c r="A25" s="261"/>
      <c r="B25" s="12"/>
      <c r="C25" s="12"/>
      <c r="D25" s="12"/>
      <c r="E25" s="12"/>
      <c r="F25" s="12"/>
      <c r="G25" s="13"/>
      <c r="H25" s="257"/>
      <c r="I25" s="258"/>
      <c r="J25" s="258"/>
      <c r="K25" s="259"/>
      <c r="L25" s="262"/>
      <c r="M25" s="263"/>
      <c r="N25" s="260"/>
      <c r="O25" s="704"/>
    </row>
    <row r="26" spans="1:15" ht="18" thickTop="1" x14ac:dyDescent="0.25">
      <c r="A26" s="308" t="s">
        <v>617</v>
      </c>
      <c r="B26" s="47"/>
      <c r="C26" s="47"/>
      <c r="D26" s="47"/>
      <c r="E26" s="47"/>
      <c r="F26" s="62"/>
      <c r="G26" s="62"/>
      <c r="H26" s="62"/>
      <c r="I26" s="62"/>
      <c r="J26" s="62"/>
      <c r="K26" s="62"/>
      <c r="L26" s="62"/>
      <c r="M26" s="62"/>
      <c r="N26" s="62"/>
      <c r="O26" s="705"/>
    </row>
    <row r="27" spans="1:15" ht="15.75" customHeight="1" x14ac:dyDescent="0.25">
      <c r="A27" s="46" t="s">
        <v>135</v>
      </c>
      <c r="B27" s="62"/>
      <c r="C27" s="62"/>
      <c r="D27" s="62"/>
      <c r="E27" s="62"/>
      <c r="F27" s="62"/>
      <c r="G27" s="62"/>
      <c r="H27" s="62"/>
      <c r="I27" s="62"/>
      <c r="J27" s="62"/>
      <c r="K27" s="62"/>
      <c r="L27" s="62"/>
      <c r="M27" s="62"/>
      <c r="N27" s="62"/>
      <c r="O27" s="706">
        <f>O95</f>
        <v>0</v>
      </c>
    </row>
    <row r="28" spans="1:15" ht="8.25" customHeight="1" x14ac:dyDescent="0.25">
      <c r="A28" s="312"/>
      <c r="B28" s="62"/>
      <c r="C28" s="62"/>
      <c r="D28" s="62"/>
      <c r="E28" s="62"/>
      <c r="F28" s="62"/>
      <c r="G28" s="62"/>
      <c r="H28" s="62"/>
      <c r="I28" s="62"/>
      <c r="J28" s="62"/>
      <c r="K28" s="62"/>
      <c r="L28" s="62"/>
      <c r="M28" s="62"/>
      <c r="N28" s="62"/>
      <c r="O28" s="706"/>
    </row>
    <row r="29" spans="1:15" x14ac:dyDescent="0.25">
      <c r="A29" s="325" t="s">
        <v>136</v>
      </c>
      <c r="B29" s="33"/>
      <c r="C29" s="62"/>
      <c r="D29" s="62"/>
      <c r="E29" s="44"/>
      <c r="F29" s="62"/>
      <c r="G29" s="62"/>
      <c r="H29" s="62"/>
      <c r="I29" s="62"/>
      <c r="J29" s="62"/>
      <c r="K29" s="62"/>
      <c r="L29" s="62"/>
      <c r="M29" s="62"/>
      <c r="N29" s="62"/>
      <c r="O29" s="706">
        <f>O98</f>
        <v>0</v>
      </c>
    </row>
    <row r="30" spans="1:15" ht="8.25" customHeight="1" x14ac:dyDescent="0.25">
      <c r="A30" s="312"/>
      <c r="B30" s="62"/>
      <c r="C30" s="62"/>
      <c r="D30" s="62"/>
      <c r="E30" s="36"/>
      <c r="F30" s="62"/>
      <c r="G30" s="62"/>
      <c r="H30" s="62"/>
      <c r="I30" s="62"/>
      <c r="J30" s="62"/>
      <c r="K30" s="62"/>
      <c r="L30" s="62"/>
      <c r="M30" s="62"/>
      <c r="N30" s="62"/>
      <c r="O30" s="706"/>
    </row>
    <row r="31" spans="1:15" x14ac:dyDescent="0.25">
      <c r="A31" s="326" t="s">
        <v>105</v>
      </c>
      <c r="B31" s="33"/>
      <c r="C31" s="33"/>
      <c r="D31" s="33"/>
      <c r="E31" s="36"/>
      <c r="F31" s="62"/>
      <c r="G31" s="62"/>
      <c r="H31" s="62"/>
      <c r="I31" s="62"/>
      <c r="J31" s="62"/>
      <c r="K31" s="62"/>
      <c r="L31" s="62"/>
      <c r="M31" s="62"/>
      <c r="N31" s="62"/>
      <c r="O31" s="706">
        <f>O101</f>
        <v>0</v>
      </c>
    </row>
    <row r="32" spans="1:15" ht="9" customHeight="1" x14ac:dyDescent="0.25">
      <c r="A32" s="313"/>
      <c r="B32" s="314"/>
      <c r="C32" s="314"/>
      <c r="D32" s="314"/>
      <c r="E32" s="36"/>
      <c r="F32" s="62"/>
      <c r="G32" s="62"/>
      <c r="H32" s="62"/>
      <c r="I32" s="62"/>
      <c r="J32" s="62"/>
      <c r="K32" s="62"/>
      <c r="L32" s="62"/>
      <c r="M32" s="62"/>
      <c r="N32" s="62"/>
      <c r="O32" s="706"/>
    </row>
    <row r="33" spans="1:15" x14ac:dyDescent="0.25">
      <c r="A33" s="326" t="s">
        <v>141</v>
      </c>
      <c r="B33" s="33"/>
      <c r="C33" s="33"/>
      <c r="D33" s="33"/>
      <c r="E33" s="48"/>
      <c r="F33" s="62"/>
      <c r="G33" s="62"/>
      <c r="H33" s="62"/>
      <c r="I33" s="62"/>
      <c r="J33" s="62"/>
      <c r="K33" s="62"/>
      <c r="L33" s="62"/>
      <c r="M33" s="62"/>
      <c r="N33" s="62"/>
      <c r="O33" s="706">
        <f>O104</f>
        <v>0</v>
      </c>
    </row>
    <row r="34" spans="1:15" ht="8.25" customHeight="1" x14ac:dyDescent="0.25">
      <c r="A34" s="50"/>
      <c r="B34" s="56"/>
      <c r="C34" s="56"/>
      <c r="D34" s="56"/>
      <c r="E34" s="56"/>
      <c r="F34" s="79"/>
      <c r="G34" s="79"/>
      <c r="H34" s="79"/>
      <c r="I34" s="79"/>
      <c r="J34" s="79"/>
      <c r="K34" s="79"/>
      <c r="L34" s="79"/>
      <c r="M34" s="79"/>
      <c r="N34" s="79"/>
      <c r="O34" s="707"/>
    </row>
    <row r="35" spans="1:15" ht="15.6" thickBot="1" x14ac:dyDescent="0.3">
      <c r="A35" s="252"/>
      <c r="B35" s="253"/>
      <c r="C35" s="327"/>
      <c r="D35" s="327"/>
      <c r="E35" s="327"/>
      <c r="F35" s="330"/>
      <c r="G35" s="330"/>
      <c r="H35" s="330"/>
      <c r="I35" s="330"/>
      <c r="J35" s="330"/>
      <c r="K35" s="330"/>
      <c r="L35" s="330"/>
      <c r="M35" s="330"/>
      <c r="N35" s="330"/>
      <c r="O35" s="708">
        <f>O106</f>
        <v>0</v>
      </c>
    </row>
    <row r="36" spans="1:15" ht="9" customHeight="1" thickTop="1" x14ac:dyDescent="0.25">
      <c r="A36" s="34"/>
      <c r="B36" s="35"/>
      <c r="C36" s="36"/>
      <c r="D36" s="36"/>
      <c r="E36" s="36"/>
      <c r="F36" s="62"/>
      <c r="G36" s="62"/>
      <c r="H36" s="62"/>
      <c r="I36" s="62"/>
      <c r="J36" s="62"/>
      <c r="K36" s="62"/>
      <c r="L36" s="62"/>
      <c r="M36" s="62"/>
      <c r="N36" s="62"/>
      <c r="O36" s="706"/>
    </row>
    <row r="37" spans="1:15" x14ac:dyDescent="0.25">
      <c r="A37" s="57" t="s">
        <v>27</v>
      </c>
      <c r="B37" s="35"/>
      <c r="C37" s="36"/>
      <c r="D37" s="36"/>
      <c r="E37" s="36"/>
      <c r="F37" s="62"/>
      <c r="G37" s="62"/>
      <c r="H37" s="62"/>
      <c r="I37" s="62"/>
      <c r="J37" s="62"/>
      <c r="K37" s="62"/>
      <c r="L37" s="62"/>
      <c r="M37" s="62"/>
      <c r="N37" s="62"/>
      <c r="O37" s="706">
        <f>O108</f>
        <v>0</v>
      </c>
    </row>
    <row r="38" spans="1:15" ht="15.6" thickBot="1" x14ac:dyDescent="0.3">
      <c r="A38" s="57" t="s">
        <v>214</v>
      </c>
      <c r="B38" s="35"/>
      <c r="C38" s="36"/>
      <c r="D38" s="36"/>
      <c r="E38" s="36"/>
      <c r="F38" s="62"/>
      <c r="G38" s="62"/>
      <c r="H38" s="62"/>
      <c r="I38" s="62"/>
      <c r="J38" s="62"/>
      <c r="K38" s="62"/>
      <c r="L38" s="62"/>
      <c r="M38" s="62"/>
      <c r="N38" s="62"/>
      <c r="O38" s="709">
        <f>O109</f>
        <v>0</v>
      </c>
    </row>
    <row r="39" spans="1:15" ht="15.6" thickBot="1" x14ac:dyDescent="0.3">
      <c r="A39" s="38"/>
      <c r="B39" s="39"/>
      <c r="C39" s="39"/>
      <c r="D39" s="39"/>
      <c r="E39" s="39"/>
      <c r="F39" s="81"/>
      <c r="G39" s="81"/>
      <c r="H39" s="81"/>
      <c r="I39" s="81"/>
      <c r="J39" s="81"/>
      <c r="K39" s="81"/>
      <c r="L39" s="81"/>
      <c r="M39" s="293" t="s">
        <v>216</v>
      </c>
      <c r="N39" s="41"/>
      <c r="O39" s="710">
        <f>O35+O37+O38</f>
        <v>0</v>
      </c>
    </row>
    <row r="40" spans="1:15" ht="18" thickTop="1" x14ac:dyDescent="0.25">
      <c r="A40" s="309" t="s">
        <v>627</v>
      </c>
      <c r="B40" s="35"/>
      <c r="C40" s="35"/>
      <c r="D40" s="35"/>
      <c r="E40" s="35"/>
      <c r="F40" s="62"/>
      <c r="G40" s="62"/>
      <c r="H40" s="62"/>
      <c r="I40" s="62"/>
      <c r="J40" s="62"/>
      <c r="K40" s="62"/>
      <c r="L40" s="62"/>
      <c r="M40" s="62"/>
      <c r="N40" s="62"/>
      <c r="O40" s="705"/>
    </row>
    <row r="41" spans="1:15" ht="9.75" customHeight="1" x14ac:dyDescent="0.25">
      <c r="A41" s="42"/>
      <c r="B41" s="35"/>
      <c r="C41" s="35"/>
      <c r="D41" s="35"/>
      <c r="E41" s="35"/>
      <c r="F41" s="62"/>
      <c r="G41" s="62"/>
      <c r="H41" s="62"/>
      <c r="I41" s="62"/>
      <c r="J41" s="62"/>
      <c r="K41" s="62"/>
      <c r="L41" s="62"/>
      <c r="M41" s="62"/>
      <c r="N41" s="62"/>
      <c r="O41" s="705"/>
    </row>
    <row r="42" spans="1:15" x14ac:dyDescent="0.25">
      <c r="A42" s="46" t="s">
        <v>137</v>
      </c>
      <c r="B42" s="62"/>
      <c r="C42" s="62"/>
      <c r="D42" s="62"/>
      <c r="E42" s="43"/>
      <c r="F42" s="62"/>
      <c r="G42" s="62"/>
      <c r="H42" s="62"/>
      <c r="I42" s="62"/>
      <c r="J42" s="62"/>
      <c r="K42" s="62"/>
      <c r="L42" s="62"/>
      <c r="M42" s="62"/>
      <c r="N42" s="62"/>
      <c r="O42" s="706">
        <f>O114</f>
        <v>0</v>
      </c>
    </row>
    <row r="43" spans="1:15" ht="8.25" customHeight="1" x14ac:dyDescent="0.25">
      <c r="A43" s="312"/>
      <c r="B43" s="62"/>
      <c r="C43" s="62"/>
      <c r="D43" s="62"/>
      <c r="E43" s="45"/>
      <c r="F43" s="62"/>
      <c r="G43" s="62"/>
      <c r="H43" s="62"/>
      <c r="I43" s="62"/>
      <c r="J43" s="62"/>
      <c r="K43" s="62"/>
      <c r="L43" s="62"/>
      <c r="M43" s="62"/>
      <c r="N43" s="62"/>
      <c r="O43" s="706"/>
    </row>
    <row r="44" spans="1:15" x14ac:dyDescent="0.25">
      <c r="A44" s="325" t="s">
        <v>136</v>
      </c>
      <c r="B44" s="36"/>
      <c r="C44" s="47"/>
      <c r="D44" s="45"/>
      <c r="E44" s="45"/>
      <c r="F44" s="62"/>
      <c r="G44" s="62"/>
      <c r="H44" s="62"/>
      <c r="I44" s="62"/>
      <c r="J44" s="62"/>
      <c r="K44" s="62"/>
      <c r="L44" s="62"/>
      <c r="M44" s="62"/>
      <c r="N44" s="62"/>
      <c r="O44" s="706">
        <f>O117</f>
        <v>0</v>
      </c>
    </row>
    <row r="45" spans="1:15" ht="9" customHeight="1" x14ac:dyDescent="0.25">
      <c r="A45" s="420"/>
      <c r="B45" s="328"/>
      <c r="C45" s="79"/>
      <c r="D45" s="79"/>
      <c r="E45" s="299"/>
      <c r="F45" s="79"/>
      <c r="G45" s="79"/>
      <c r="H45" s="79"/>
      <c r="I45" s="79"/>
      <c r="J45" s="79"/>
      <c r="K45" s="79"/>
      <c r="L45" s="79"/>
      <c r="M45" s="79"/>
      <c r="N45" s="79"/>
      <c r="O45" s="707"/>
    </row>
    <row r="46" spans="1:15" ht="15.6" thickBot="1" x14ac:dyDescent="0.3">
      <c r="A46" s="329"/>
      <c r="B46" s="330"/>
      <c r="C46" s="330"/>
      <c r="D46" s="330"/>
      <c r="E46" s="331"/>
      <c r="F46" s="330"/>
      <c r="G46" s="330"/>
      <c r="H46" s="330"/>
      <c r="I46" s="330"/>
      <c r="J46" s="330"/>
      <c r="K46" s="330"/>
      <c r="L46" s="330"/>
      <c r="M46" s="330"/>
      <c r="N46" s="293"/>
      <c r="O46" s="711">
        <f>O119</f>
        <v>0</v>
      </c>
    </row>
    <row r="47" spans="1:15" ht="9" customHeight="1" thickTop="1" x14ac:dyDescent="0.25">
      <c r="A47" s="34"/>
      <c r="B47" s="35"/>
      <c r="C47" s="36"/>
      <c r="D47" s="36"/>
      <c r="E47" s="36"/>
      <c r="F47" s="62"/>
      <c r="G47" s="62"/>
      <c r="H47" s="62"/>
      <c r="I47" s="12"/>
      <c r="J47" s="12"/>
      <c r="K47" s="12"/>
      <c r="L47" s="12"/>
      <c r="M47" s="12"/>
      <c r="N47" s="12"/>
      <c r="O47" s="706"/>
    </row>
    <row r="48" spans="1:15" x14ac:dyDescent="0.25">
      <c r="A48" s="57" t="s">
        <v>27</v>
      </c>
      <c r="B48" s="35"/>
      <c r="C48" s="36"/>
      <c r="D48" s="36"/>
      <c r="E48" s="36"/>
      <c r="F48" s="62"/>
      <c r="G48" s="62"/>
      <c r="H48" s="62"/>
      <c r="I48" s="12"/>
      <c r="J48" s="12"/>
      <c r="K48" s="12"/>
      <c r="L48" s="12"/>
      <c r="M48" s="12"/>
      <c r="N48" s="12"/>
      <c r="O48" s="706">
        <f>O121</f>
        <v>0</v>
      </c>
    </row>
    <row r="49" spans="1:15" x14ac:dyDescent="0.25">
      <c r="A49" s="57" t="s">
        <v>214</v>
      </c>
      <c r="B49" s="35"/>
      <c r="C49" s="36"/>
      <c r="D49" s="36"/>
      <c r="E49" s="36"/>
      <c r="F49" s="62"/>
      <c r="G49" s="62"/>
      <c r="H49" s="62"/>
      <c r="I49" s="12"/>
      <c r="J49" s="12"/>
      <c r="K49" s="12"/>
      <c r="L49" s="12"/>
      <c r="M49" s="62"/>
      <c r="N49" s="12"/>
      <c r="O49" s="706">
        <f>O109</f>
        <v>0</v>
      </c>
    </row>
    <row r="50" spans="1:15" ht="6.75" customHeight="1" thickBot="1" x14ac:dyDescent="0.3">
      <c r="A50" s="86"/>
      <c r="B50" s="87"/>
      <c r="C50" s="87"/>
      <c r="D50" s="88"/>
      <c r="E50" s="88"/>
      <c r="F50" s="421"/>
      <c r="G50" s="421"/>
      <c r="H50" s="421"/>
      <c r="I50" s="422"/>
      <c r="J50" s="422"/>
      <c r="K50" s="422"/>
      <c r="L50" s="422"/>
      <c r="M50" s="422"/>
      <c r="N50" s="422"/>
      <c r="O50" s="709"/>
    </row>
    <row r="51" spans="1:15" ht="16.2" thickBot="1" x14ac:dyDescent="0.3">
      <c r="A51" s="337"/>
      <c r="B51" s="125"/>
      <c r="C51" s="125"/>
      <c r="D51" s="125"/>
      <c r="E51" s="125"/>
      <c r="F51" s="372"/>
      <c r="G51" s="372"/>
      <c r="H51" s="372"/>
      <c r="I51" s="423"/>
      <c r="J51" s="423"/>
      <c r="K51" s="423"/>
      <c r="L51" s="423"/>
      <c r="M51" s="338" t="s">
        <v>217</v>
      </c>
      <c r="N51" s="423"/>
      <c r="O51" s="712">
        <f>O124</f>
        <v>0</v>
      </c>
    </row>
    <row r="52" spans="1:15" ht="18.600000000000001" thickTop="1" thickBot="1" x14ac:dyDescent="0.3">
      <c r="A52" s="1276" t="s">
        <v>21</v>
      </c>
      <c r="B52" s="35"/>
      <c r="C52" s="35"/>
      <c r="D52" s="35"/>
      <c r="E52" s="35"/>
      <c r="F52" s="62"/>
      <c r="G52" s="62"/>
      <c r="H52" s="62"/>
      <c r="I52" s="11"/>
      <c r="J52" s="12"/>
      <c r="K52" s="12"/>
      <c r="L52" s="12"/>
      <c r="M52" s="121" t="s">
        <v>21</v>
      </c>
      <c r="N52" s="12"/>
      <c r="O52" s="713">
        <f>O39+O51</f>
        <v>0</v>
      </c>
    </row>
    <row r="53" spans="1:15" ht="20.25" customHeight="1" thickTop="1" thickBot="1" x14ac:dyDescent="0.3">
      <c r="A53" s="371"/>
      <c r="B53" s="240"/>
      <c r="C53" s="240"/>
      <c r="D53" s="240"/>
      <c r="E53" s="240"/>
      <c r="F53" s="240"/>
      <c r="G53" s="241"/>
      <c r="H53" s="240"/>
      <c r="I53" s="11"/>
      <c r="J53" s="332"/>
      <c r="K53" s="488"/>
      <c r="L53" s="489" t="s">
        <v>162</v>
      </c>
      <c r="M53" s="1623">
        <f>'Input Data'!$D$27/100</f>
        <v>1</v>
      </c>
      <c r="N53" s="490" t="s">
        <v>163</v>
      </c>
      <c r="O53" s="714">
        <f>M53*O125</f>
        <v>0</v>
      </c>
    </row>
    <row r="54" spans="1:15" ht="18" thickTop="1" x14ac:dyDescent="0.25">
      <c r="A54" s="42" t="s">
        <v>632</v>
      </c>
      <c r="B54" s="94"/>
      <c r="C54" s="94"/>
      <c r="D54" s="94"/>
      <c r="E54" s="94"/>
      <c r="F54" s="94"/>
      <c r="G54" s="94"/>
      <c r="H54" s="95"/>
      <c r="I54" s="333"/>
      <c r="J54" s="334"/>
      <c r="K54" s="335"/>
      <c r="L54" s="336"/>
      <c r="M54" s="335"/>
      <c r="N54" s="336"/>
      <c r="O54" s="715"/>
    </row>
    <row r="55" spans="1:15" x14ac:dyDescent="0.25">
      <c r="A55" s="54" t="s">
        <v>147</v>
      </c>
      <c r="B55" s="94"/>
      <c r="C55" s="94"/>
      <c r="D55" s="94"/>
      <c r="E55" s="94"/>
      <c r="F55" s="94"/>
      <c r="G55" s="94"/>
      <c r="H55" s="96" t="s">
        <v>160</v>
      </c>
      <c r="I55" s="62"/>
      <c r="J55" s="97"/>
      <c r="K55" s="98" t="s">
        <v>6</v>
      </c>
      <c r="L55" s="35"/>
      <c r="M55" s="98" t="s">
        <v>215</v>
      </c>
      <c r="N55" s="260" t="s">
        <v>200</v>
      </c>
      <c r="O55" s="693">
        <f>IF('Input Data'!E10="E",IF($O$106&gt;0,0,'Time Based'!$I$22),0)</f>
        <v>0</v>
      </c>
    </row>
    <row r="56" spans="1:15" x14ac:dyDescent="0.25">
      <c r="A56" s="34" t="s">
        <v>98</v>
      </c>
      <c r="B56" s="35"/>
      <c r="C56" s="45">
        <f>IF('Input Data'!$D$34="Y",0.3,1)</f>
        <v>1</v>
      </c>
      <c r="D56" s="45" t="s">
        <v>24</v>
      </c>
      <c r="E56" s="276">
        <f>IF('Input Data'!$F$39="Y",0.06,0)</f>
        <v>0</v>
      </c>
      <c r="F56" s="43" t="s">
        <v>1</v>
      </c>
      <c r="G56" s="1293">
        <f>IF('Input Data'!$F$32=1,0.05,IF('Input Data'!$F$32=2,Scales!$L$5,IF('Input Data'!$F$32=3,Scales!$L$6,IF('Input Data'!$F$32=4,Scales!$L$7,IF('Input Data'!$F$32=5,0.95,1)))))</f>
        <v>0.95</v>
      </c>
      <c r="H56" s="43" t="s">
        <v>2</v>
      </c>
      <c r="I56" s="277">
        <f>IF('Input Data'!$F$39="Y",$O$23,0)</f>
        <v>0</v>
      </c>
      <c r="J56" s="260" t="s">
        <v>200</v>
      </c>
      <c r="K56" s="122">
        <f>IF('Input Data'!E10="E",IF('Input Data'!$F$39="y",(C56*E56*G56*I56),0),0)</f>
        <v>0</v>
      </c>
      <c r="L56" s="35"/>
      <c r="M56" s="98" t="s">
        <v>215</v>
      </c>
      <c r="N56" s="260" t="s">
        <v>200</v>
      </c>
      <c r="O56" s="693">
        <f>IF('Input Data'!E10="E",IF('Input Data'!$F$39="y",IF('Time Based'!$I$22&lt;$K$56,'Time Based'!$I$22,$K$56),0),0)</f>
        <v>0</v>
      </c>
    </row>
    <row r="57" spans="1:15" ht="15.6" thickBot="1" x14ac:dyDescent="0.3">
      <c r="A57" s="34" t="s">
        <v>156</v>
      </c>
      <c r="B57" s="35"/>
      <c r="C57" s="35"/>
      <c r="D57" s="35"/>
      <c r="E57" s="35"/>
      <c r="F57" s="35"/>
      <c r="G57" s="35"/>
      <c r="H57" s="35"/>
      <c r="I57" s="99" t="s">
        <v>44</v>
      </c>
      <c r="J57" s="97"/>
      <c r="K57" s="87"/>
      <c r="L57" s="87"/>
      <c r="M57" s="100" t="s">
        <v>215</v>
      </c>
      <c r="N57" s="296" t="s">
        <v>200</v>
      </c>
      <c r="O57" s="694">
        <f>IF('Input Data'!E10="E",'Time Based'!I52+'Time Based'!I66,0)</f>
        <v>0</v>
      </c>
    </row>
    <row r="58" spans="1:15" ht="15.6" thickBot="1" x14ac:dyDescent="0.3">
      <c r="A58" s="101"/>
      <c r="B58" s="102"/>
      <c r="C58" s="102"/>
      <c r="D58" s="39"/>
      <c r="E58" s="39"/>
      <c r="F58" s="39"/>
      <c r="G58" s="39"/>
      <c r="H58" s="103"/>
      <c r="I58" s="104"/>
      <c r="J58" s="105"/>
      <c r="K58" s="104"/>
      <c r="L58" s="39"/>
      <c r="M58" s="290" t="s">
        <v>312</v>
      </c>
      <c r="N58" s="106"/>
      <c r="O58" s="710">
        <f>IF('Input Data'!E10="e",SUM(O55:O57),0)</f>
        <v>0</v>
      </c>
    </row>
    <row r="59" spans="1:15" ht="18.600000000000001" thickTop="1" thickBot="1" x14ac:dyDescent="0.3">
      <c r="A59" s="846"/>
      <c r="B59" s="847"/>
      <c r="C59" s="847"/>
      <c r="D59" s="240"/>
      <c r="E59" s="240"/>
      <c r="F59" s="240"/>
      <c r="G59" s="240"/>
      <c r="H59" s="848"/>
      <c r="I59" s="849"/>
      <c r="J59" s="850"/>
      <c r="K59" s="849"/>
      <c r="L59" s="240"/>
      <c r="M59" s="851" t="s">
        <v>331</v>
      </c>
      <c r="N59" s="490"/>
      <c r="O59" s="733">
        <f>IF('Input Data'!E10="E",'Input Data'!H11*'Input Data'!F11,0)</f>
        <v>0</v>
      </c>
    </row>
    <row r="60" spans="1:15" ht="18" thickTop="1" x14ac:dyDescent="0.25">
      <c r="A60" s="42" t="s">
        <v>633</v>
      </c>
      <c r="B60" s="35"/>
      <c r="C60" s="35"/>
      <c r="D60" s="35"/>
      <c r="E60" s="35"/>
      <c r="F60" s="35"/>
      <c r="G60" s="35"/>
      <c r="H60" s="35"/>
      <c r="I60" s="35"/>
      <c r="J60" s="35"/>
      <c r="K60" s="35"/>
      <c r="L60" s="35"/>
      <c r="M60" s="107"/>
      <c r="N60" s="108"/>
      <c r="O60" s="693"/>
    </row>
    <row r="61" spans="1:15" x14ac:dyDescent="0.25">
      <c r="A61" s="34" t="s">
        <v>591</v>
      </c>
      <c r="B61" s="35"/>
      <c r="C61" s="242" t="s">
        <v>164</v>
      </c>
      <c r="D61" s="35"/>
      <c r="E61" s="35"/>
      <c r="F61" s="35"/>
      <c r="G61" s="35"/>
      <c r="H61" s="35"/>
      <c r="I61" s="35"/>
      <c r="J61" s="35"/>
      <c r="K61" s="99"/>
      <c r="L61" s="35"/>
      <c r="M61" s="98" t="s">
        <v>215</v>
      </c>
      <c r="N61" s="260" t="s">
        <v>200</v>
      </c>
      <c r="O61" s="716">
        <f>IF('Input Data'!E10="E",'Subsistance &amp; Travelling'!O86,0)</f>
        <v>0</v>
      </c>
    </row>
    <row r="62" spans="1:15" x14ac:dyDescent="0.25">
      <c r="A62" s="34" t="s">
        <v>78</v>
      </c>
      <c r="B62" s="35"/>
      <c r="C62" s="35"/>
      <c r="D62" s="35"/>
      <c r="E62" s="35"/>
      <c r="F62" s="35"/>
      <c r="G62" s="35"/>
      <c r="H62" s="35"/>
      <c r="I62" s="35"/>
      <c r="J62" s="35"/>
      <c r="K62" s="99"/>
      <c r="L62" s="35"/>
      <c r="M62" s="98" t="s">
        <v>215</v>
      </c>
      <c r="N62" s="260" t="s">
        <v>200</v>
      </c>
      <c r="O62" s="716">
        <f>IF('Input Data'!E10="E",'Typing, Duplicating, &amp; Printing'!J63,0)</f>
        <v>0</v>
      </c>
    </row>
    <row r="63" spans="1:15" x14ac:dyDescent="0.25">
      <c r="A63" s="34" t="s">
        <v>582</v>
      </c>
      <c r="B63" s="35"/>
      <c r="C63" s="35"/>
      <c r="D63" s="35"/>
      <c r="E63" s="35"/>
      <c r="F63" s="35"/>
      <c r="G63" s="35"/>
      <c r="H63" s="35"/>
      <c r="I63" s="35"/>
      <c r="J63" s="35"/>
      <c r="K63" s="99"/>
      <c r="L63" s="35"/>
      <c r="M63" s="98" t="s">
        <v>215</v>
      </c>
      <c r="N63" s="260" t="s">
        <v>200</v>
      </c>
      <c r="O63" s="716">
        <f>IF('Input Data'!$E$10="E",'Site staff &amp; Other'!I49,0)</f>
        <v>0</v>
      </c>
    </row>
    <row r="64" spans="1:15" ht="15.6" thickBot="1" x14ac:dyDescent="0.3">
      <c r="A64" s="1126" t="s">
        <v>583</v>
      </c>
      <c r="B64" s="35"/>
      <c r="C64" s="35"/>
      <c r="D64" s="35"/>
      <c r="E64" s="35"/>
      <c r="F64" s="35"/>
      <c r="G64" s="35"/>
      <c r="H64" s="35"/>
      <c r="I64" s="35"/>
      <c r="J64" s="35"/>
      <c r="K64" s="1127"/>
      <c r="L64" s="87"/>
      <c r="M64" s="100" t="s">
        <v>215</v>
      </c>
      <c r="N64" s="296" t="s">
        <v>200</v>
      </c>
      <c r="O64" s="717">
        <f>IF('Input Data'!$E$10="E",'Site staff &amp; Other'!I64,0)</f>
        <v>0</v>
      </c>
    </row>
    <row r="65" spans="1:15" ht="15.6" thickBot="1" x14ac:dyDescent="0.3">
      <c r="A65" s="101"/>
      <c r="B65" s="39"/>
      <c r="C65" s="39"/>
      <c r="D65" s="39"/>
      <c r="E65" s="39"/>
      <c r="F65" s="39"/>
      <c r="G65" s="39"/>
      <c r="H65" s="110"/>
      <c r="I65" s="102"/>
      <c r="J65" s="39"/>
      <c r="K65" s="126"/>
      <c r="L65" s="81"/>
      <c r="M65" s="266" t="s">
        <v>242</v>
      </c>
      <c r="N65" s="102"/>
      <c r="O65" s="718">
        <f>IF('Input Data'!E10="e",SUM(O61:O64),0)</f>
        <v>0</v>
      </c>
    </row>
    <row r="66" spans="1:15" ht="15.6" thickTop="1" x14ac:dyDescent="0.25">
      <c r="A66" s="111"/>
      <c r="B66" s="112"/>
      <c r="C66" s="112"/>
      <c r="D66" s="35"/>
      <c r="E66" s="35"/>
      <c r="F66" s="35"/>
      <c r="G66" s="35"/>
      <c r="H66" s="35"/>
      <c r="I66" s="243"/>
      <c r="J66" s="244"/>
      <c r="K66" s="244"/>
      <c r="L66" s="244"/>
      <c r="M66" s="291" t="s">
        <v>218</v>
      </c>
      <c r="N66" s="291"/>
      <c r="O66" s="719">
        <f>O53+O58-O59+O65</f>
        <v>0</v>
      </c>
    </row>
    <row r="67" spans="1:15" ht="18" thickBot="1" x14ac:dyDescent="0.3">
      <c r="A67" s="294"/>
      <c r="B67" s="35"/>
      <c r="C67" s="295"/>
      <c r="D67" s="35"/>
      <c r="E67" s="35"/>
      <c r="F67" s="35"/>
      <c r="G67" s="36"/>
      <c r="H67" s="36"/>
      <c r="I67" s="113"/>
      <c r="J67" s="36"/>
      <c r="K67" s="36"/>
      <c r="L67" s="35"/>
      <c r="M67" s="98" t="s">
        <v>95</v>
      </c>
      <c r="N67" s="35"/>
      <c r="O67" s="1128">
        <f>IF('Input Data'!E10="E",ROUND('Previous Claims'!$M$42,2),0)</f>
        <v>0</v>
      </c>
    </row>
    <row r="68" spans="1:15" ht="18" customHeight="1" thickBot="1" x14ac:dyDescent="0.3">
      <c r="A68" s="34"/>
      <c r="B68" s="35"/>
      <c r="C68" s="39"/>
      <c r="D68" s="35"/>
      <c r="E68" s="35"/>
      <c r="F68" s="35"/>
      <c r="G68" s="114"/>
      <c r="H68" s="127"/>
      <c r="I68" s="757"/>
      <c r="J68" s="758"/>
      <c r="K68" s="758"/>
      <c r="L68" s="758"/>
      <c r="M68" s="758" t="str">
        <f>IF($O$66&lt;$O$67,"OVERPAID BY (Ecl Tax)",IF($O$66&gt;$O$67,"FEES NOW DUE EXCLUDING VAT &amp; NON TAXABLE AMOUNT",""))</f>
        <v/>
      </c>
      <c r="N68" s="758"/>
      <c r="O68" s="720">
        <f>O66-O67</f>
        <v>0</v>
      </c>
    </row>
    <row r="69" spans="1:15" ht="15.6" thickTop="1" x14ac:dyDescent="0.25">
      <c r="A69" s="111"/>
      <c r="B69" s="112"/>
      <c r="C69" s="35"/>
      <c r="D69" s="112"/>
      <c r="E69" s="1881" t="s">
        <v>0</v>
      </c>
      <c r="F69" s="1882"/>
      <c r="G69" s="1882"/>
      <c r="H69" s="1882"/>
      <c r="I69" s="115">
        <f>IF('Input Data'!D28&lt;43191,14%,15%)</f>
        <v>0.14000000000000001</v>
      </c>
      <c r="J69" s="36" t="s">
        <v>22</v>
      </c>
      <c r="K69" s="116">
        <f>IF('Input Data'!E18="none",0,O68)</f>
        <v>0</v>
      </c>
      <c r="L69" s="112"/>
      <c r="M69" s="112"/>
      <c r="N69" s="112"/>
      <c r="O69" s="721">
        <f>IF('Input Data'!E18="none",0,I69*K69)</f>
        <v>0</v>
      </c>
    </row>
    <row r="70" spans="1:15" x14ac:dyDescent="0.25">
      <c r="A70" s="34"/>
      <c r="B70" s="35"/>
      <c r="C70" s="35"/>
      <c r="D70" s="114"/>
      <c r="E70" s="114"/>
      <c r="F70" s="114"/>
      <c r="G70" s="99"/>
      <c r="H70" s="117"/>
      <c r="I70" s="56"/>
      <c r="J70" s="118"/>
      <c r="K70" s="51"/>
      <c r="L70" s="119"/>
      <c r="M70" s="292" t="s">
        <v>106</v>
      </c>
      <c r="N70" s="120"/>
      <c r="O70" s="722">
        <f>IF('Input Data'!E10="E",'Non Taxable'!J21,0)</f>
        <v>0</v>
      </c>
    </row>
    <row r="71" spans="1:15" ht="15.6" thickBot="1" x14ac:dyDescent="0.3">
      <c r="A71" s="252"/>
      <c r="B71" s="253"/>
      <c r="C71" s="253"/>
      <c r="D71" s="253"/>
      <c r="E71" s="253"/>
      <c r="F71" s="253"/>
      <c r="G71" s="253"/>
      <c r="H71" s="254"/>
      <c r="I71" s="755"/>
      <c r="J71" s="756"/>
      <c r="K71" s="756"/>
      <c r="L71" s="756"/>
      <c r="M71" s="756" t="str">
        <f>IF($O$66&lt;$O$67,"AMOUNT TO BE RECOVERED (Incl VAT)",IF($O$66&gt;$O$67,"FEES NOW DUE INCLUDING VAT &amp; NON TAXABLE AMOUNT",""))</f>
        <v/>
      </c>
      <c r="N71" s="756"/>
      <c r="O71" s="723">
        <f>O68+O69+O70</f>
        <v>0</v>
      </c>
    </row>
    <row r="72" spans="1:15" ht="10.5" customHeight="1" thickTop="1" x14ac:dyDescent="0.25">
      <c r="A72" s="552"/>
      <c r="B72" s="553"/>
      <c r="C72" s="554"/>
      <c r="D72" s="554"/>
      <c r="E72" s="555"/>
      <c r="F72" s="554"/>
      <c r="G72" s="554"/>
      <c r="H72" s="554"/>
      <c r="I72" s="556"/>
      <c r="J72" s="557"/>
      <c r="K72" s="557"/>
      <c r="L72" s="557"/>
      <c r="M72" s="558"/>
      <c r="N72" s="559"/>
      <c r="O72" s="560"/>
    </row>
    <row r="73" spans="1:15" ht="15.6" x14ac:dyDescent="0.25">
      <c r="A73" s="602" t="s">
        <v>308</v>
      </c>
      <c r="B73" s="562"/>
      <c r="C73" s="554"/>
      <c r="D73" s="554"/>
      <c r="E73" s="554"/>
      <c r="F73" s="554"/>
      <c r="G73" s="603" t="s">
        <v>309</v>
      </c>
      <c r="H73" s="554"/>
      <c r="I73" s="554"/>
      <c r="J73" s="557"/>
      <c r="K73" s="557"/>
      <c r="L73" s="557"/>
      <c r="M73" s="557"/>
      <c r="N73" s="557"/>
      <c r="O73" s="620"/>
    </row>
    <row r="74" spans="1:15" ht="9" customHeight="1" x14ac:dyDescent="0.25">
      <c r="A74" s="563"/>
      <c r="B74" s="562"/>
      <c r="C74" s="554"/>
      <c r="D74" s="554"/>
      <c r="E74" s="554"/>
      <c r="F74" s="554"/>
      <c r="G74" s="554"/>
      <c r="H74" s="554"/>
      <c r="I74" s="554"/>
      <c r="J74" s="557"/>
      <c r="K74" s="557"/>
      <c r="L74" s="557"/>
      <c r="M74" s="557"/>
      <c r="N74" s="557"/>
      <c r="O74" s="620"/>
    </row>
    <row r="75" spans="1:15" ht="15.6" x14ac:dyDescent="0.25">
      <c r="A75" s="564"/>
      <c r="B75" s="565" t="s">
        <v>221</v>
      </c>
      <c r="C75" s="566"/>
      <c r="D75" s="567"/>
      <c r="E75" s="581"/>
      <c r="F75" s="581"/>
      <c r="G75" s="581"/>
      <c r="H75" s="581"/>
      <c r="I75" s="569"/>
      <c r="J75" s="557"/>
      <c r="K75" s="569"/>
      <c r="L75" s="565" t="s">
        <v>222</v>
      </c>
      <c r="M75" s="570"/>
      <c r="N75" s="570"/>
      <c r="O75" s="621"/>
    </row>
    <row r="76" spans="1:15" ht="9.75" customHeight="1" thickBot="1" x14ac:dyDescent="0.3">
      <c r="A76" s="571"/>
      <c r="B76" s="572"/>
      <c r="C76" s="573"/>
      <c r="D76" s="573"/>
      <c r="E76" s="573" t="s">
        <v>223</v>
      </c>
      <c r="F76" s="573"/>
      <c r="G76" s="573"/>
      <c r="H76" s="573"/>
      <c r="I76" s="574"/>
      <c r="J76" s="575"/>
      <c r="K76" s="575"/>
      <c r="L76" s="575"/>
      <c r="M76" s="575"/>
      <c r="N76" s="575"/>
      <c r="O76" s="622"/>
    </row>
    <row r="77" spans="1:15" ht="15.75" customHeight="1" thickTop="1" x14ac:dyDescent="0.25">
      <c r="A77" s="576" t="s">
        <v>224</v>
      </c>
      <c r="B77" s="553"/>
      <c r="C77" s="554"/>
      <c r="D77" s="568"/>
      <c r="E77" s="568"/>
      <c r="F77" s="554"/>
      <c r="G77" s="568"/>
      <c r="H77" s="568"/>
      <c r="I77" s="555"/>
      <c r="J77" s="577"/>
      <c r="K77" s="554"/>
      <c r="L77" s="577"/>
      <c r="M77" s="554"/>
      <c r="N77" s="577"/>
      <c r="O77" s="578"/>
    </row>
    <row r="78" spans="1:15" x14ac:dyDescent="0.25">
      <c r="A78" s="561" t="s">
        <v>225</v>
      </c>
      <c r="B78" s="562"/>
      <c r="C78" s="554"/>
      <c r="D78" s="568"/>
      <c r="E78" s="568"/>
      <c r="F78" s="554"/>
      <c r="G78" s="568"/>
      <c r="H78" s="568"/>
      <c r="I78" s="554"/>
      <c r="J78" s="577"/>
      <c r="K78" s="554"/>
      <c r="L78" s="577"/>
      <c r="M78" s="554"/>
      <c r="N78" s="577"/>
      <c r="O78" s="578"/>
    </row>
    <row r="79" spans="1:15" ht="9" customHeight="1" x14ac:dyDescent="0.25">
      <c r="A79" s="563"/>
      <c r="B79" s="562"/>
      <c r="C79" s="554"/>
      <c r="D79" s="568"/>
      <c r="E79" s="568"/>
      <c r="F79" s="554"/>
      <c r="G79" s="568"/>
      <c r="H79" s="568"/>
      <c r="I79" s="554"/>
      <c r="J79" s="558"/>
      <c r="K79" s="554"/>
      <c r="L79" s="579"/>
      <c r="M79" s="554"/>
      <c r="N79" s="580"/>
      <c r="O79" s="578"/>
    </row>
    <row r="80" spans="1:15" ht="15.6" x14ac:dyDescent="0.25">
      <c r="A80" s="564"/>
      <c r="B80" s="565" t="s">
        <v>226</v>
      </c>
      <c r="C80" s="566"/>
      <c r="D80" s="581"/>
      <c r="E80" s="581"/>
      <c r="F80" s="567"/>
      <c r="G80" s="581"/>
      <c r="H80" s="581"/>
      <c r="I80" s="570"/>
      <c r="J80" s="604"/>
      <c r="K80" s="568"/>
      <c r="L80" s="565" t="s">
        <v>227</v>
      </c>
      <c r="M80" s="570"/>
      <c r="N80" s="582"/>
      <c r="O80" s="609"/>
    </row>
    <row r="81" spans="1:15" ht="15.6" x14ac:dyDescent="0.25">
      <c r="A81" s="584"/>
      <c r="B81" s="585"/>
      <c r="C81" s="586"/>
      <c r="D81" s="568"/>
      <c r="E81" s="568"/>
      <c r="F81" s="554"/>
      <c r="G81" s="568"/>
      <c r="H81" s="568"/>
      <c r="I81" s="569"/>
      <c r="J81" s="604"/>
      <c r="K81" s="565"/>
      <c r="L81" s="577"/>
      <c r="M81" s="569"/>
      <c r="N81" s="587"/>
      <c r="O81" s="583"/>
    </row>
    <row r="82" spans="1:15" x14ac:dyDescent="0.25">
      <c r="A82" s="605"/>
      <c r="B82" s="606" t="s">
        <v>222</v>
      </c>
      <c r="C82" s="567"/>
      <c r="D82" s="581"/>
      <c r="E82" s="581"/>
      <c r="F82" s="567"/>
      <c r="G82" s="581"/>
      <c r="H82" s="581"/>
      <c r="I82" s="567"/>
      <c r="J82" s="607"/>
      <c r="K82" s="606"/>
      <c r="L82" s="606" t="s">
        <v>222</v>
      </c>
      <c r="M82" s="570"/>
      <c r="N82" s="608"/>
      <c r="O82" s="609"/>
    </row>
    <row r="83" spans="1:15" x14ac:dyDescent="0.25">
      <c r="A83" s="610" t="s">
        <v>310</v>
      </c>
      <c r="B83" s="1798"/>
      <c r="C83" s="1799"/>
      <c r="D83" s="1799"/>
      <c r="E83" s="1799"/>
      <c r="F83" s="1799"/>
      <c r="G83" s="1799"/>
      <c r="H83" s="1799"/>
      <c r="I83" s="1799"/>
      <c r="J83" s="1799"/>
      <c r="K83" s="1799"/>
      <c r="L83" s="1799"/>
      <c r="M83" s="1799"/>
      <c r="N83" s="1799"/>
      <c r="O83" s="1800"/>
    </row>
    <row r="84" spans="1:15" ht="15.6" thickBot="1" x14ac:dyDescent="0.3">
      <c r="A84" s="611"/>
      <c r="B84" s="1801"/>
      <c r="C84" s="1801"/>
      <c r="D84" s="1801"/>
      <c r="E84" s="1801"/>
      <c r="F84" s="1801"/>
      <c r="G84" s="1801"/>
      <c r="H84" s="1801"/>
      <c r="I84" s="1801"/>
      <c r="J84" s="1801"/>
      <c r="K84" s="1801"/>
      <c r="L84" s="1801"/>
      <c r="M84" s="1801"/>
      <c r="N84" s="1801"/>
      <c r="O84" s="1802"/>
    </row>
    <row r="85" spans="1:15" ht="16.2" thickTop="1" x14ac:dyDescent="0.25">
      <c r="A85" s="426" t="s">
        <v>224</v>
      </c>
      <c r="B85" s="427"/>
      <c r="C85" s="428"/>
      <c r="D85" s="365"/>
      <c r="E85" s="365"/>
      <c r="F85" s="428"/>
      <c r="G85" s="365"/>
      <c r="H85" s="365"/>
      <c r="I85" s="428"/>
      <c r="J85" s="365"/>
      <c r="K85" s="427"/>
      <c r="L85" s="365"/>
      <c r="M85" s="428"/>
      <c r="N85" s="429"/>
      <c r="O85" s="1141">
        <f>O89-O71</f>
        <v>0</v>
      </c>
    </row>
    <row r="86" spans="1:15" ht="15.6" x14ac:dyDescent="0.25">
      <c r="A86" s="431" t="s">
        <v>228</v>
      </c>
      <c r="B86" s="432" t="s">
        <v>229</v>
      </c>
      <c r="C86" s="425"/>
      <c r="D86" s="79"/>
      <c r="E86" s="79"/>
      <c r="F86" s="425"/>
      <c r="G86" s="79"/>
      <c r="H86" s="79"/>
      <c r="I86" s="425"/>
      <c r="J86" s="79"/>
      <c r="K86" s="425"/>
      <c r="L86" s="79"/>
      <c r="M86" s="425"/>
      <c r="N86" s="433"/>
      <c r="O86" s="434"/>
    </row>
    <row r="87" spans="1:15" ht="38.25" customHeight="1" x14ac:dyDescent="0.25">
      <c r="A87" s="435" t="s">
        <v>230</v>
      </c>
      <c r="B87" s="436" t="s">
        <v>231</v>
      </c>
      <c r="C87" s="1877" t="s">
        <v>232</v>
      </c>
      <c r="D87" s="1878"/>
      <c r="E87" s="1818" t="s">
        <v>233</v>
      </c>
      <c r="F87" s="1777"/>
      <c r="G87" s="1777"/>
      <c r="H87" s="438" t="s">
        <v>234</v>
      </c>
      <c r="I87" s="1818" t="s">
        <v>235</v>
      </c>
      <c r="J87" s="1876"/>
      <c r="K87" s="437" t="s">
        <v>236</v>
      </c>
      <c r="L87" s="1818" t="s">
        <v>237</v>
      </c>
      <c r="M87" s="1777"/>
      <c r="N87" s="1139" t="s">
        <v>588</v>
      </c>
      <c r="O87" s="854" t="s">
        <v>238</v>
      </c>
    </row>
    <row r="88" spans="1:15" x14ac:dyDescent="0.25">
      <c r="A88" s="439" t="s">
        <v>239</v>
      </c>
      <c r="B88" s="623">
        <f>'Previous Claims'!O42-C88-E88-H88-I88-L88</f>
        <v>0</v>
      </c>
      <c r="C88" s="1816">
        <f>'Time Based'!I69</f>
        <v>0</v>
      </c>
      <c r="D88" s="1859"/>
      <c r="E88" s="1879">
        <f>'Subsistance &amp; Travelling'!O87</f>
        <v>0</v>
      </c>
      <c r="F88" s="1880"/>
      <c r="G88" s="1880"/>
      <c r="H88" s="625">
        <f>'Typing, Duplicating, &amp; Printing'!J64</f>
        <v>0</v>
      </c>
      <c r="I88" s="1819">
        <f>'Site staff &amp; Other'!I50+'Site staff &amp; Other'!I65</f>
        <v>0</v>
      </c>
      <c r="J88" s="1820"/>
      <c r="K88" s="624">
        <f>'Previous Claims'!J42</f>
        <v>0</v>
      </c>
      <c r="L88" s="1819">
        <f>'Non Taxable'!J20</f>
        <v>0</v>
      </c>
      <c r="M88" s="1820"/>
      <c r="N88" s="1140"/>
      <c r="O88" s="855">
        <f>B88+C88+E88+H88+I88+K88+L88+M88+N88</f>
        <v>0</v>
      </c>
    </row>
    <row r="89" spans="1:15" x14ac:dyDescent="0.25">
      <c r="A89" s="439" t="s">
        <v>240</v>
      </c>
      <c r="B89" s="623">
        <f>O53-B88</f>
        <v>0</v>
      </c>
      <c r="C89" s="1816">
        <f>O58-C88</f>
        <v>0</v>
      </c>
      <c r="D89" s="1817"/>
      <c r="E89" s="1862">
        <f>O61-E88</f>
        <v>0</v>
      </c>
      <c r="F89" s="1863"/>
      <c r="G89" s="1864"/>
      <c r="H89" s="626">
        <f>O62-H88</f>
        <v>0</v>
      </c>
      <c r="I89" s="1816">
        <f>O63+O64-I88</f>
        <v>0</v>
      </c>
      <c r="J89" s="1817"/>
      <c r="K89" s="624">
        <f>O69</f>
        <v>0</v>
      </c>
      <c r="L89" s="1816">
        <f>O70</f>
        <v>0</v>
      </c>
      <c r="M89" s="1817"/>
      <c r="N89" s="1140">
        <f>-O59</f>
        <v>0</v>
      </c>
      <c r="O89" s="855">
        <f>B89+C89+E89+H89+I89+K89+L89+M89+N89</f>
        <v>0</v>
      </c>
    </row>
    <row r="90" spans="1:15" x14ac:dyDescent="0.25">
      <c r="A90" s="439" t="s">
        <v>241</v>
      </c>
      <c r="B90" s="623">
        <f>B88+B89</f>
        <v>0</v>
      </c>
      <c r="C90" s="1816">
        <f>C88+C89</f>
        <v>0</v>
      </c>
      <c r="D90" s="1859"/>
      <c r="E90" s="1879">
        <f>E88+E89</f>
        <v>0</v>
      </c>
      <c r="F90" s="1880"/>
      <c r="G90" s="1880"/>
      <c r="H90" s="625">
        <f>H88+H89</f>
        <v>0</v>
      </c>
      <c r="I90" s="1819">
        <f>I88+I89</f>
        <v>0</v>
      </c>
      <c r="J90" s="1820"/>
      <c r="K90" s="624">
        <f>K88+K89</f>
        <v>0</v>
      </c>
      <c r="L90" s="1819">
        <f>L88+L89</f>
        <v>0</v>
      </c>
      <c r="M90" s="1820"/>
      <c r="N90" s="1140">
        <f>N89+N88</f>
        <v>0</v>
      </c>
      <c r="O90" s="855">
        <f>SUM(B90:N90)</f>
        <v>0</v>
      </c>
    </row>
    <row r="91" spans="1:15" ht="15.6" thickBot="1" x14ac:dyDescent="0.3">
      <c r="A91" s="440" t="s">
        <v>228</v>
      </c>
      <c r="B91" s="483"/>
      <c r="C91" s="1860"/>
      <c r="D91" s="1861"/>
      <c r="E91" s="1796"/>
      <c r="F91" s="1797"/>
      <c r="G91" s="1797"/>
      <c r="H91" s="484"/>
      <c r="I91" s="1874"/>
      <c r="J91" s="1875"/>
      <c r="K91" s="485"/>
      <c r="L91" s="1796"/>
      <c r="M91" s="1797"/>
      <c r="N91" s="1143"/>
      <c r="O91" s="855">
        <f>SUM(B91:N91)</f>
        <v>0</v>
      </c>
    </row>
    <row r="92" spans="1:15" ht="18.600000000000001" thickTop="1" thickBot="1" x14ac:dyDescent="0.3">
      <c r="A92" s="588" t="s">
        <v>257</v>
      </c>
      <c r="B92" s="589"/>
      <c r="C92" s="589"/>
      <c r="D92" s="590"/>
      <c r="E92" s="589"/>
      <c r="F92" s="590"/>
      <c r="G92" s="590"/>
      <c r="H92" s="589"/>
      <c r="I92" s="589"/>
      <c r="J92" s="591"/>
      <c r="K92" s="589"/>
      <c r="L92" s="589"/>
      <c r="M92" s="590"/>
      <c r="N92" s="592"/>
      <c r="O92" s="593"/>
    </row>
    <row r="93" spans="1:15" ht="18.600000000000001" thickTop="1" thickBot="1" x14ac:dyDescent="0.3">
      <c r="A93" s="441" t="s">
        <v>243</v>
      </c>
      <c r="B93" s="62"/>
      <c r="C93" s="62"/>
      <c r="D93" s="62"/>
      <c r="E93" s="62"/>
      <c r="F93" s="62"/>
      <c r="G93" s="62"/>
      <c r="H93" s="62"/>
      <c r="I93" s="62"/>
      <c r="J93" s="62"/>
      <c r="K93" s="62"/>
      <c r="L93" s="62"/>
      <c r="M93" s="62"/>
      <c r="N93" s="62"/>
      <c r="O93" s="442"/>
    </row>
    <row r="94" spans="1:15" ht="18" thickTop="1" x14ac:dyDescent="0.25">
      <c r="A94" s="308" t="s">
        <v>617</v>
      </c>
      <c r="B94" s="71"/>
      <c r="C94" s="71"/>
      <c r="D94" s="71"/>
      <c r="E94" s="71"/>
      <c r="F94" s="71"/>
      <c r="G94" s="71"/>
      <c r="H94" s="71"/>
      <c r="I94" s="71"/>
      <c r="J94" s="71"/>
      <c r="K94" s="71"/>
      <c r="L94" s="71"/>
      <c r="M94" s="71"/>
      <c r="N94" s="71"/>
      <c r="O94" s="72"/>
    </row>
    <row r="95" spans="1:15" ht="15.6" thickBot="1" x14ac:dyDescent="0.3">
      <c r="A95" s="1851" t="s">
        <v>251</v>
      </c>
      <c r="B95" s="1852"/>
      <c r="C95" s="1852"/>
      <c r="D95" s="1852"/>
      <c r="E95" s="1852"/>
      <c r="F95" s="36"/>
      <c r="G95" s="62"/>
      <c r="H95" s="43"/>
      <c r="I95" s="1294">
        <f>IF('Input Data'!$F$32=1,0.05,IF('Input Data'!$F$32=2,Scales!$L$5,IF('Input Data'!$F$32=3,Scales!$L$6,IF('Input Data'!$F$32=4,Scales!$L$7,IF('Input Data'!$F$32&gt;4,0.7)))))</f>
        <v>0.7</v>
      </c>
      <c r="J95" s="67" t="s">
        <v>2</v>
      </c>
      <c r="K95" s="73">
        <f>IF('Input Data'!$E$10="E",'Input Data'!$H$43,0)</f>
        <v>0</v>
      </c>
      <c r="L95" s="70" t="s">
        <v>24</v>
      </c>
      <c r="M95" s="66">
        <f>IF('Input Data'!$H$43&gt;0,$O$24,0)</f>
        <v>0</v>
      </c>
      <c r="N95" s="260" t="s">
        <v>200</v>
      </c>
      <c r="O95" s="692">
        <f>IF('Input Data'!$E$10="E",IF('Input Data'!$H$43&gt;0,IF('Input Data'!$D$34="N",(I95*K95/K96*M95),0),0),0)</f>
        <v>0</v>
      </c>
    </row>
    <row r="96" spans="1:15" x14ac:dyDescent="0.25">
      <c r="A96" s="1853"/>
      <c r="B96" s="1852"/>
      <c r="C96" s="1852"/>
      <c r="D96" s="1852"/>
      <c r="E96" s="1852"/>
      <c r="F96" s="36"/>
      <c r="G96" s="74"/>
      <c r="H96" s="45"/>
      <c r="I96" s="1295"/>
      <c r="J96" s="66"/>
      <c r="K96" s="66">
        <f>IF('Input Data'!$E$10="E",IF('Input Data'!$H$43&gt;0,'Input Data'!$H$47,0),0)</f>
        <v>0</v>
      </c>
      <c r="L96" s="70"/>
      <c r="M96" s="66"/>
      <c r="N96" s="69"/>
      <c r="O96" s="692"/>
    </row>
    <row r="97" spans="1:15" x14ac:dyDescent="0.25">
      <c r="A97" s="55"/>
      <c r="B97" s="35"/>
      <c r="C97" s="36"/>
      <c r="D97" s="36"/>
      <c r="E97" s="36"/>
      <c r="F97" s="36"/>
      <c r="G97" s="48"/>
      <c r="H97" s="49"/>
      <c r="I97" s="1296"/>
      <c r="J97" s="75"/>
      <c r="K97" s="75"/>
      <c r="L97" s="76"/>
      <c r="M97" s="75"/>
      <c r="N97" s="75"/>
      <c r="O97" s="693"/>
    </row>
    <row r="98" spans="1:15" ht="15.6" thickBot="1" x14ac:dyDescent="0.3">
      <c r="A98" s="1854" t="s">
        <v>136</v>
      </c>
      <c r="B98" s="1872"/>
      <c r="C98" s="1852"/>
      <c r="D98" s="1852"/>
      <c r="E98" s="44"/>
      <c r="F98" s="61"/>
      <c r="G98" s="48">
        <f>IF('Input Data'!$H$44&gt;0,1.25,0)</f>
        <v>0</v>
      </c>
      <c r="H98" s="43" t="s">
        <v>1</v>
      </c>
      <c r="I98" s="1294">
        <f>IF('Input Data'!$F$32=1,0.05,IF('Input Data'!$F$32=2,Scales!$L$5,IF('Input Data'!$F$32=3,Scales!$L$6,IF('Input Data'!$F$32=4,Scales!$L$7,IF('Input Data'!$F$32&gt;4,0.7)))))</f>
        <v>0.7</v>
      </c>
      <c r="J98" s="67" t="s">
        <v>2</v>
      </c>
      <c r="K98" s="73">
        <f>IF('Input Data'!$E$10="E",'Input Data'!$H$44,0)</f>
        <v>0</v>
      </c>
      <c r="L98" s="70" t="s">
        <v>24</v>
      </c>
      <c r="M98" s="66">
        <f>IF('Input Data'!$H$44&gt;0,$O$24,0)</f>
        <v>0</v>
      </c>
      <c r="N98" s="260" t="s">
        <v>200</v>
      </c>
      <c r="O98" s="692">
        <f>IF('Input Data'!$E$10="E",IF('Input Data'!$H$44&gt;0,IF('Input Data'!$D$34="N",(G98*I98*K98/K99*M98),0),0),0)</f>
        <v>0</v>
      </c>
    </row>
    <row r="99" spans="1:15" x14ac:dyDescent="0.25">
      <c r="A99" s="1873"/>
      <c r="B99" s="1839"/>
      <c r="C99" s="1839"/>
      <c r="D99" s="1839"/>
      <c r="E99" s="36"/>
      <c r="F99" s="36"/>
      <c r="G99" s="48"/>
      <c r="H99" s="49"/>
      <c r="I99" s="1296"/>
      <c r="J99" s="75"/>
      <c r="K99" s="66">
        <f>IF('Input Data'!$E$10="E",IF('Input Data'!$H$44&gt;0,'Input Data'!$H$47,0),0)</f>
        <v>0</v>
      </c>
      <c r="L99" s="76"/>
      <c r="M99" s="75"/>
      <c r="N99" s="75"/>
      <c r="O99" s="693"/>
    </row>
    <row r="100" spans="1:15" x14ac:dyDescent="0.25">
      <c r="A100" s="8"/>
      <c r="B100" s="9"/>
      <c r="C100" s="9"/>
      <c r="D100" s="9"/>
      <c r="E100" s="36"/>
      <c r="F100" s="36"/>
      <c r="G100" s="48"/>
      <c r="H100" s="49"/>
      <c r="I100" s="1295"/>
      <c r="J100" s="67"/>
      <c r="K100" s="77"/>
      <c r="L100" s="76"/>
      <c r="M100" s="77"/>
      <c r="N100" s="75"/>
      <c r="O100" s="693"/>
    </row>
    <row r="101" spans="1:15" ht="15.6" thickBot="1" x14ac:dyDescent="0.3">
      <c r="A101" s="1855" t="s">
        <v>105</v>
      </c>
      <c r="B101" s="1856"/>
      <c r="C101" s="1856"/>
      <c r="D101" s="1856"/>
      <c r="E101" s="36"/>
      <c r="F101" s="36"/>
      <c r="G101" s="48">
        <f>IF('Input Data'!$H$45&gt;0,0.25,0)</f>
        <v>0</v>
      </c>
      <c r="H101" s="49"/>
      <c r="I101" s="1294">
        <f>IF('Input Data'!$F$32=1,0.05,IF('Input Data'!$F$32=2,Scales!$L$5,IF('Input Data'!$F$32=3,Scales!$L$6,IF('Input Data'!$F$32=4,Scales!$L$7,IF('Input Data'!$F$32&gt;4,0.7)))))</f>
        <v>0.7</v>
      </c>
      <c r="J101" s="67" t="s">
        <v>2</v>
      </c>
      <c r="K101" s="73">
        <f>IF('Input Data'!$E$10="E",'Input Data'!$H$45,0)</f>
        <v>0</v>
      </c>
      <c r="L101" s="76" t="s">
        <v>24</v>
      </c>
      <c r="M101" s="66">
        <f>IF('Input Data'!$H$45&gt;0,$O$24,0)</f>
        <v>0</v>
      </c>
      <c r="N101" s="260" t="s">
        <v>200</v>
      </c>
      <c r="O101" s="692">
        <f>IF('Input Data'!$E$10="E",IF('Input Data'!$H$45&gt;0,IF('Input Data'!$D$34="N",(G101*I101*K101/K102*M101),0),0),0)</f>
        <v>0</v>
      </c>
    </row>
    <row r="102" spans="1:15" x14ac:dyDescent="0.25">
      <c r="A102" s="1857"/>
      <c r="B102" s="1858"/>
      <c r="C102" s="1858"/>
      <c r="D102" s="1858"/>
      <c r="E102" s="36"/>
      <c r="F102" s="36"/>
      <c r="G102" s="48"/>
      <c r="H102" s="49"/>
      <c r="I102" s="1295"/>
      <c r="J102" s="67"/>
      <c r="K102" s="66">
        <f>IF('Input Data'!$E$10="E",IF('Input Data'!$H$45&gt;0,'Input Data'!$H$47,0),0)</f>
        <v>0</v>
      </c>
      <c r="L102" s="76"/>
      <c r="M102" s="77"/>
      <c r="N102" s="75"/>
      <c r="O102" s="693"/>
    </row>
    <row r="103" spans="1:15" x14ac:dyDescent="0.25">
      <c r="A103" s="34"/>
      <c r="B103" s="35"/>
      <c r="C103" s="36"/>
      <c r="D103" s="36"/>
      <c r="E103" s="36"/>
      <c r="F103" s="36"/>
      <c r="G103" s="48"/>
      <c r="H103" s="49"/>
      <c r="I103" s="1295"/>
      <c r="J103" s="67"/>
      <c r="K103" s="77"/>
      <c r="L103" s="76"/>
      <c r="M103" s="77"/>
      <c r="N103" s="75"/>
      <c r="O103" s="693"/>
    </row>
    <row r="104" spans="1:15" ht="15.6" thickBot="1" x14ac:dyDescent="0.3">
      <c r="A104" s="1855" t="s">
        <v>141</v>
      </c>
      <c r="B104" s="1856"/>
      <c r="C104" s="1856"/>
      <c r="D104" s="1856"/>
      <c r="E104" s="48">
        <f>IF('Input Data'!$H$46&gt;0,0.25,0)</f>
        <v>0</v>
      </c>
      <c r="F104" s="43" t="s">
        <v>1</v>
      </c>
      <c r="G104" s="48">
        <f>IF('Input Data'!$H$46&gt;0,1.25,0)</f>
        <v>0</v>
      </c>
      <c r="H104" s="43" t="s">
        <v>1</v>
      </c>
      <c r="I104" s="1294">
        <f>IF('Input Data'!$F$32=1,0.05,IF('Input Data'!$F$32=2,Scales!$L$5,IF('Input Data'!$F$32=3,Scales!$L$6,IF('Input Data'!$F$32=4,Scales!$L$7,IF('Input Data'!$F$32&gt;4,0.7)))))</f>
        <v>0.7</v>
      </c>
      <c r="J104" s="67" t="s">
        <v>2</v>
      </c>
      <c r="K104" s="73">
        <f>IF('Input Data'!$E$10="E",'Input Data'!$H$46,0)</f>
        <v>0</v>
      </c>
      <c r="L104" s="43" t="s">
        <v>1</v>
      </c>
      <c r="M104" s="66">
        <f>IF('Input Data'!$H$46&gt;0,$O$24,0)</f>
        <v>0</v>
      </c>
      <c r="N104" s="260" t="s">
        <v>200</v>
      </c>
      <c r="O104" s="692">
        <f>IF('Input Data'!$E$10="E",IF('Input Data'!$H$46&gt;0,IF('Input Data'!$D$34="N",(E104*G104*I104*K104/K105*M104),0),0),0)</f>
        <v>0</v>
      </c>
    </row>
    <row r="105" spans="1:15" ht="15.6" thickBot="1" x14ac:dyDescent="0.3">
      <c r="A105" s="1857"/>
      <c r="B105" s="1858"/>
      <c r="C105" s="1858"/>
      <c r="D105" s="1858"/>
      <c r="E105" s="33"/>
      <c r="F105" s="33"/>
      <c r="G105" s="48"/>
      <c r="H105" s="49"/>
      <c r="I105" s="44"/>
      <c r="J105" s="75"/>
      <c r="K105" s="66">
        <f>IF('Input Data'!$E$10="E",IF('Input Data'!$H$46&gt;0,'Input Data'!$H$47,0),0)</f>
        <v>0</v>
      </c>
      <c r="L105" s="76"/>
      <c r="M105" s="75"/>
      <c r="N105" s="75"/>
      <c r="O105" s="694"/>
    </row>
    <row r="106" spans="1:15" x14ac:dyDescent="0.25">
      <c r="A106" s="50"/>
      <c r="B106" s="56"/>
      <c r="C106" s="56"/>
      <c r="D106" s="56"/>
      <c r="E106" s="56"/>
      <c r="F106" s="56"/>
      <c r="G106" s="56"/>
      <c r="H106" s="56"/>
      <c r="I106" s="78"/>
      <c r="J106" s="78"/>
      <c r="K106" s="79"/>
      <c r="L106" s="79"/>
      <c r="M106" s="79"/>
      <c r="N106" s="79"/>
      <c r="O106" s="695">
        <f>SUM(O95:O105)</f>
        <v>0</v>
      </c>
    </row>
    <row r="107" spans="1:15" x14ac:dyDescent="0.25">
      <c r="A107" s="34"/>
      <c r="B107" s="35"/>
      <c r="C107" s="36"/>
      <c r="D107" s="36"/>
      <c r="E107" s="36"/>
      <c r="F107" s="36"/>
      <c r="G107" s="36"/>
      <c r="H107" s="36"/>
      <c r="I107" s="53"/>
      <c r="J107" s="43"/>
      <c r="K107" s="53"/>
      <c r="L107" s="67"/>
      <c r="M107" s="66"/>
      <c r="N107" s="67"/>
      <c r="O107" s="693"/>
    </row>
    <row r="108" spans="1:15" x14ac:dyDescent="0.25">
      <c r="A108" s="57" t="s">
        <v>27</v>
      </c>
      <c r="B108" s="35"/>
      <c r="C108" s="36"/>
      <c r="D108" s="36"/>
      <c r="E108" s="36"/>
      <c r="F108" s="36"/>
      <c r="G108" s="1297">
        <f>IF('Input Data'!$F$32=1,1,IF('Input Data'!$F$32&lt;5,'Input Data'!$D$33,1))</f>
        <v>1</v>
      </c>
      <c r="H108" s="852" t="s">
        <v>24</v>
      </c>
      <c r="I108" s="37">
        <f>IF('Input Data'!$E$10="E",IF('Input Data'!$D$34="N",IF('Input Data'!$F$37="y",0.01,0),0),0)</f>
        <v>0</v>
      </c>
      <c r="J108" s="43" t="s">
        <v>1</v>
      </c>
      <c r="K108" s="691">
        <f>IF('Input Data'!$F$32=1,0.05,IF('Input Data'!$F$32=2,Scales!$L$5,IF('Input Data'!$F$32=3,Scales!$L$6,IF('Input Data'!$F$32=4,Scales!$L$7,IF('Input Data'!$F$32&gt;4,0.7)))))</f>
        <v>0.7</v>
      </c>
      <c r="L108" s="70" t="s">
        <v>24</v>
      </c>
      <c r="M108" s="75">
        <f>IF('Input Data'!$E$10="E",IF('Input Data'!$D$34="N",IF('Input Data'!$F$37="y",$O$22,0),0),0)</f>
        <v>0</v>
      </c>
      <c r="N108" s="260"/>
      <c r="O108" s="693">
        <f>IF('Input Data'!$D$34="N",IF('Input Data'!$E$10="E",IF($M$108&gt;0,(G108*I108*K108*M108),0),0),0)</f>
        <v>0</v>
      </c>
    </row>
    <row r="109" spans="1:15" x14ac:dyDescent="0.25">
      <c r="A109" s="57" t="s">
        <v>214</v>
      </c>
      <c r="B109" s="35"/>
      <c r="C109" s="36"/>
      <c r="D109" s="36"/>
      <c r="E109" s="36"/>
      <c r="F109" s="36"/>
      <c r="G109" s="1297">
        <f>IF('Input Data'!$F$32=1,1,IF('Input Data'!$F$32&lt;5,'Input Data'!$D$33,1))</f>
        <v>1</v>
      </c>
      <c r="H109" s="852" t="s">
        <v>24</v>
      </c>
      <c r="I109" s="37">
        <f>IF('Input Data'!E10="E",IF('Input Data'!$D$34="N",IF('Input Data'!$F$38="y",0.07,0),0),0)</f>
        <v>0</v>
      </c>
      <c r="J109" s="43" t="s">
        <v>24</v>
      </c>
      <c r="K109" s="691">
        <f>IF('Input Data'!$F$32=1,0.05,IF('Input Data'!$F$32=2,Scales!$L$5,IF('Input Data'!$F$32=3,Scales!$L$6,IF('Input Data'!$F$32=4,Scales!$L$7,IF('Input Data'!$F$32&gt;4,0.7)))))</f>
        <v>0.7</v>
      </c>
      <c r="L109" s="70"/>
      <c r="M109" s="75">
        <f>IF('Input Data'!$D$34="N",IF('Input Data'!$E$10="E",IF('Input Data'!$F$38="Y",$O$24,0),0),0)</f>
        <v>0</v>
      </c>
      <c r="N109" s="67"/>
      <c r="O109" s="693">
        <f>IF('Input Data'!$D$34="N",IF('Input Data'!$E$10="E",IF($M$109&gt;0,(G109*I109*K109*M109),0),0),0)</f>
        <v>0</v>
      </c>
    </row>
    <row r="110" spans="1:15" ht="15.6" thickBot="1" x14ac:dyDescent="0.3">
      <c r="A110" s="57"/>
      <c r="B110" s="35"/>
      <c r="C110" s="36"/>
      <c r="D110" s="36"/>
      <c r="E110" s="36"/>
      <c r="F110" s="36"/>
      <c r="G110" s="36"/>
      <c r="H110" s="36"/>
      <c r="I110" s="37"/>
      <c r="J110" s="43"/>
      <c r="K110" s="44"/>
      <c r="L110" s="70"/>
      <c r="M110" s="75"/>
      <c r="N110" s="67"/>
      <c r="O110" s="694"/>
    </row>
    <row r="111" spans="1:15" ht="15.6" thickBot="1" x14ac:dyDescent="0.3">
      <c r="A111" s="38"/>
      <c r="B111" s="39"/>
      <c r="C111" s="39"/>
      <c r="D111" s="39"/>
      <c r="E111" s="39"/>
      <c r="F111" s="39"/>
      <c r="G111" s="40"/>
      <c r="H111" s="40"/>
      <c r="I111" s="41"/>
      <c r="J111" s="80"/>
      <c r="K111" s="81"/>
      <c r="L111" s="41"/>
      <c r="M111" s="293" t="s">
        <v>216</v>
      </c>
      <c r="N111" s="41"/>
      <c r="O111" s="696">
        <f>O106+O108+O109</f>
        <v>0</v>
      </c>
    </row>
    <row r="112" spans="1:15" ht="18" thickTop="1" x14ac:dyDescent="0.25">
      <c r="A112" s="309" t="s">
        <v>627</v>
      </c>
      <c r="B112" s="35"/>
      <c r="C112" s="35"/>
      <c r="D112" s="35"/>
      <c r="E112" s="35"/>
      <c r="F112" s="35"/>
      <c r="G112" s="35"/>
      <c r="H112" s="35"/>
      <c r="I112" s="35"/>
      <c r="J112" s="35"/>
      <c r="K112" s="35"/>
      <c r="L112" s="35"/>
      <c r="M112" s="82"/>
      <c r="N112" s="35"/>
      <c r="O112" s="693"/>
    </row>
    <row r="113" spans="1:15" ht="17.399999999999999" x14ac:dyDescent="0.25">
      <c r="A113" s="42"/>
      <c r="B113" s="35"/>
      <c r="C113" s="35"/>
      <c r="D113" s="35"/>
      <c r="E113" s="35"/>
      <c r="F113" s="35"/>
      <c r="G113" s="35"/>
      <c r="H113" s="35"/>
      <c r="I113" s="35"/>
      <c r="J113" s="35"/>
      <c r="K113" s="35"/>
      <c r="L113" s="35"/>
      <c r="M113" s="82"/>
      <c r="N113" s="35"/>
      <c r="O113" s="693"/>
    </row>
    <row r="114" spans="1:15" ht="15.6" thickBot="1" x14ac:dyDescent="0.3">
      <c r="A114" s="1851" t="s">
        <v>251</v>
      </c>
      <c r="B114" s="1852"/>
      <c r="C114" s="1852"/>
      <c r="D114" s="1852"/>
      <c r="E114" s="1852"/>
      <c r="F114" s="1852"/>
      <c r="G114" s="36"/>
      <c r="H114" s="44"/>
      <c r="I114" s="1295">
        <f>IF('Input Data'!$F$32&lt;5,0,IF('Input Data'!$F$32=5,0.25,IF('Input Data'!$F$32=6,0.3)))</f>
        <v>0.25</v>
      </c>
      <c r="J114" s="65" t="s">
        <v>2</v>
      </c>
      <c r="K114" s="83">
        <f>IF('Input Data'!$E$10="E",IF('Input Data'!$F$32&gt;4,'Input Data'!$H$51,0),0)</f>
        <v>0</v>
      </c>
      <c r="L114" s="70" t="s">
        <v>24</v>
      </c>
      <c r="M114" s="68">
        <f>IF('Input Data'!$E$10="E",IF('Input Data'!$F$32&gt;4,IF('Input Data'!$H$51&gt;0,$O$24,0),0),0)</f>
        <v>0</v>
      </c>
      <c r="N114" s="260" t="s">
        <v>200</v>
      </c>
      <c r="O114" s="692">
        <f>IF('Input Data'!$E$10="E",IF('Input Data'!$F$32&gt;3,IF($M$114&gt;0,(I114*K114/K115*M114),0),0),0)</f>
        <v>0</v>
      </c>
    </row>
    <row r="115" spans="1:15" x14ac:dyDescent="0.25">
      <c r="A115" s="1853"/>
      <c r="B115" s="1852"/>
      <c r="C115" s="1852"/>
      <c r="D115" s="1852"/>
      <c r="E115" s="1852"/>
      <c r="F115" s="1852"/>
      <c r="G115" s="36"/>
      <c r="H115" s="36"/>
      <c r="I115" s="44"/>
      <c r="J115" s="47"/>
      <c r="K115" s="66">
        <f>IF($K114&gt;0,IF('Input Data'!$F$32=4,'Input Data'!$H$47,IF('Input Data'!$F$32&gt;4,'Input Data'!$H$47,0)),0)</f>
        <v>0</v>
      </c>
      <c r="L115" s="70"/>
      <c r="M115" s="66"/>
      <c r="N115" s="66"/>
      <c r="O115" s="692"/>
    </row>
    <row r="116" spans="1:15" x14ac:dyDescent="0.25">
      <c r="A116" s="46"/>
      <c r="B116" s="36"/>
      <c r="C116" s="47"/>
      <c r="D116" s="45"/>
      <c r="E116" s="45"/>
      <c r="F116" s="45"/>
      <c r="G116" s="36"/>
      <c r="H116" s="36"/>
      <c r="I116" s="44"/>
      <c r="J116" s="47"/>
      <c r="K116" s="66"/>
      <c r="L116" s="70"/>
      <c r="M116" s="66"/>
      <c r="N116" s="66"/>
      <c r="O116" s="692"/>
    </row>
    <row r="117" spans="1:15" ht="15.6" thickBot="1" x14ac:dyDescent="0.3">
      <c r="A117" s="1854" t="s">
        <v>136</v>
      </c>
      <c r="B117" s="1852"/>
      <c r="C117" s="1852"/>
      <c r="D117" s="1852"/>
      <c r="E117" s="1852"/>
      <c r="F117" s="1852"/>
      <c r="G117" s="48">
        <f>IF('Input Data'!$H$52&gt;0,1.25,0)</f>
        <v>0</v>
      </c>
      <c r="H117" s="45" t="s">
        <v>24</v>
      </c>
      <c r="I117" s="1295">
        <f>IF('Input Data'!$F$32&lt;5,0,IF('Input Data'!$F$32=5,0.25,IF('Input Data'!$F$32=6,0.3)))</f>
        <v>0.25</v>
      </c>
      <c r="J117" s="65" t="s">
        <v>2</v>
      </c>
      <c r="K117" s="83">
        <f>IF('Input Data'!$E$10="E",IF('Input Data'!$F$32&gt;4,'Input Data'!$H$52,0),0)</f>
        <v>0</v>
      </c>
      <c r="L117" s="70" t="s">
        <v>24</v>
      </c>
      <c r="M117" s="68">
        <f>IF('Input Data'!$E$10="E",IF('Input Data'!$F$32&gt;4,IF('Input Data'!$H$52&gt;0,$O$24,0),0),0)</f>
        <v>0</v>
      </c>
      <c r="N117" s="260" t="s">
        <v>200</v>
      </c>
      <c r="O117" s="692">
        <f>IF('Input Data'!$E$10="E",IF('Input Data'!$F$32&gt;3,IF($M$117&gt;0,(G117*I117*K117/K118*M117),0),0),0)</f>
        <v>0</v>
      </c>
    </row>
    <row r="118" spans="1:15" ht="15.6" thickBot="1" x14ac:dyDescent="0.3">
      <c r="A118" s="1853"/>
      <c r="B118" s="1852"/>
      <c r="C118" s="1852"/>
      <c r="D118" s="1852"/>
      <c r="E118" s="1852"/>
      <c r="F118" s="1852"/>
      <c r="G118" s="36"/>
      <c r="H118" s="45"/>
      <c r="I118" s="37"/>
      <c r="J118" s="35"/>
      <c r="K118" s="66">
        <f>IF($K117&gt;0,IF('Input Data'!$F$32=5,'Input Data'!$H$47,IF('Input Data'!$F$32=6,'Input Data'!$H$47,0)),0)</f>
        <v>0</v>
      </c>
      <c r="L118" s="76"/>
      <c r="M118" s="75"/>
      <c r="N118" s="75"/>
      <c r="O118" s="694"/>
    </row>
    <row r="119" spans="1:15" x14ac:dyDescent="0.25">
      <c r="A119" s="50"/>
      <c r="B119" s="51"/>
      <c r="C119" s="51"/>
      <c r="D119" s="51"/>
      <c r="E119" s="51"/>
      <c r="F119" s="51"/>
      <c r="G119" s="51"/>
      <c r="H119" s="853"/>
      <c r="I119" s="52"/>
      <c r="J119" s="51"/>
      <c r="K119" s="84"/>
      <c r="L119" s="85"/>
      <c r="M119" s="84"/>
      <c r="N119" s="84"/>
      <c r="O119" s="695">
        <f>SUM(O114:O118)</f>
        <v>0</v>
      </c>
    </row>
    <row r="120" spans="1:15" x14ac:dyDescent="0.25">
      <c r="A120" s="34"/>
      <c r="B120" s="35"/>
      <c r="C120" s="36"/>
      <c r="D120" s="36"/>
      <c r="E120" s="36"/>
      <c r="F120" s="36"/>
      <c r="G120" s="36"/>
      <c r="H120" s="45"/>
      <c r="I120" s="53"/>
      <c r="J120" s="43"/>
      <c r="K120" s="53"/>
      <c r="L120" s="70"/>
      <c r="M120" s="66"/>
      <c r="N120" s="67"/>
      <c r="O120" s="693"/>
    </row>
    <row r="121" spans="1:15" x14ac:dyDescent="0.25">
      <c r="A121" s="57" t="s">
        <v>27</v>
      </c>
      <c r="B121" s="35"/>
      <c r="C121" s="36"/>
      <c r="D121" s="36"/>
      <c r="E121" s="36"/>
      <c r="F121" s="36"/>
      <c r="G121" s="1295">
        <f>IF('Input Data'!$F$37="n",0,IF('Input Data'!F32&gt;4,'Input Data'!H54/'Input Data'!H49,0))</f>
        <v>0</v>
      </c>
      <c r="H121" s="1298" t="s">
        <v>24</v>
      </c>
      <c r="I121" s="1296">
        <f>IF('Input Data'!$F$37="y",0.01,0)</f>
        <v>0</v>
      </c>
      <c r="J121" s="1299" t="s">
        <v>1</v>
      </c>
      <c r="K121" s="1295">
        <f>IF('Input Data'!$F$32&lt;5,0,IF('Input Data'!$F$32=5,0.25,IF('Input Data'!$F$32=6,0.3)))</f>
        <v>0.25</v>
      </c>
      <c r="L121" s="70" t="s">
        <v>24</v>
      </c>
      <c r="M121" s="75">
        <f>IF('Input Data'!$E$10="E",IF('Input Data'!$F$32&gt;4,IF('Input Data'!$F$37="y",$O$22,0),0),0)</f>
        <v>0</v>
      </c>
      <c r="N121" s="260" t="s">
        <v>200</v>
      </c>
      <c r="O121" s="693">
        <f>IF('Input Data'!$E$10="E",IF($M$121&gt;0,(G121*I121*K121*M121),0),0)</f>
        <v>0</v>
      </c>
    </row>
    <row r="122" spans="1:15" x14ac:dyDescent="0.25">
      <c r="A122" s="57" t="s">
        <v>214</v>
      </c>
      <c r="B122" s="35"/>
      <c r="C122" s="36"/>
      <c r="D122" s="36"/>
      <c r="E122" s="36"/>
      <c r="F122" s="36"/>
      <c r="G122" s="1295">
        <f>IF('Input Data'!$F$38="n",0,IF('Input Data'!F32&gt;4,'Input Data'!H53/'Input Data'!H47,0))</f>
        <v>0</v>
      </c>
      <c r="H122" s="1300"/>
      <c r="I122" s="1296">
        <f>IF('Input Data'!$F$38="y",0.07,0)</f>
        <v>0</v>
      </c>
      <c r="J122" s="1299" t="s">
        <v>24</v>
      </c>
      <c r="K122" s="1295">
        <f>IF('Input Data'!$F$32&lt;5,0,IF('Input Data'!$F$32=5,0.25,IF('Input Data'!$F$32=6,0.3)))</f>
        <v>0.25</v>
      </c>
      <c r="L122" s="70"/>
      <c r="M122" s="75">
        <f>IF('Input Data'!$F$38="Y",IF('Input Data'!$E$10="E",IF('Input Data'!$F$32&gt;4,$O$24,0),0),0)</f>
        <v>0</v>
      </c>
      <c r="N122" s="260" t="s">
        <v>200</v>
      </c>
      <c r="O122" s="693">
        <f>IF('Input Data'!$E$10="E",IF($M$122&gt;0,(G121*I122*K122*M122),0),0)</f>
        <v>0</v>
      </c>
    </row>
    <row r="123" spans="1:15" ht="15.6" thickBot="1" x14ac:dyDescent="0.3">
      <c r="A123" s="312"/>
      <c r="B123" s="62"/>
      <c r="C123" s="62"/>
      <c r="D123" s="62"/>
      <c r="E123" s="62"/>
      <c r="F123" s="62"/>
      <c r="G123" s="62"/>
      <c r="H123" s="62"/>
      <c r="I123" s="62"/>
      <c r="J123" s="62"/>
      <c r="K123" s="62"/>
      <c r="L123" s="62"/>
      <c r="M123" s="62"/>
      <c r="N123" s="62"/>
      <c r="O123" s="697"/>
    </row>
    <row r="124" spans="1:15" ht="15.6" thickBot="1" x14ac:dyDescent="0.3">
      <c r="A124" s="86"/>
      <c r="B124" s="87"/>
      <c r="C124" s="87"/>
      <c r="D124" s="88"/>
      <c r="E124" s="88"/>
      <c r="F124" s="88"/>
      <c r="G124" s="89"/>
      <c r="H124" s="90"/>
      <c r="I124" s="91"/>
      <c r="J124" s="92"/>
      <c r="K124" s="93"/>
      <c r="L124" s="93"/>
      <c r="M124" s="289" t="s">
        <v>217</v>
      </c>
      <c r="N124" s="289"/>
      <c r="O124" s="698">
        <f>O119+O121+O122</f>
        <v>0</v>
      </c>
    </row>
    <row r="125" spans="1:15" ht="16.2" thickBot="1" x14ac:dyDescent="0.3">
      <c r="A125" s="337" t="s">
        <v>21</v>
      </c>
      <c r="B125" s="125"/>
      <c r="C125" s="125"/>
      <c r="D125" s="125"/>
      <c r="E125" s="125"/>
      <c r="F125" s="125"/>
      <c r="G125" s="125"/>
      <c r="H125" s="125"/>
      <c r="I125" s="125"/>
      <c r="J125" s="125"/>
      <c r="K125" s="125"/>
      <c r="L125" s="125"/>
      <c r="M125" s="443" t="s">
        <v>21</v>
      </c>
      <c r="N125" s="125"/>
      <c r="O125" s="699">
        <f>O111+O124</f>
        <v>0</v>
      </c>
    </row>
    <row r="126" spans="1:15" ht="15.6" thickTop="1" x14ac:dyDescent="0.25"/>
  </sheetData>
  <sheetProtection algorithmName="SHA-512" hashValue="05bbLcM2VgoKF7Z/NT2ZJ7bgxIWfxT4DfZRUCmzxKQ/FqNKysGOM5hipvC7WBCCUuxBNSUQRvbGwFFjwel3MDw==" saltValue="TjBIkySPG96FsYQoJkYxnA==" spinCount="100000" sheet="1" objects="1" scenarios="1" formatCells="0" formatColumns="0" formatRows="0"/>
  <mergeCells count="71">
    <mergeCell ref="F5:G5"/>
    <mergeCell ref="J4:K4"/>
    <mergeCell ref="M5:O5"/>
    <mergeCell ref="N4:O4"/>
    <mergeCell ref="D2:K2"/>
    <mergeCell ref="J22:N22"/>
    <mergeCell ref="H17:I17"/>
    <mergeCell ref="J21:N21"/>
    <mergeCell ref="L19:N19"/>
    <mergeCell ref="L20:O20"/>
    <mergeCell ref="H19:I19"/>
    <mergeCell ref="E69:H69"/>
    <mergeCell ref="A22:B22"/>
    <mergeCell ref="A101:D102"/>
    <mergeCell ref="E90:G90"/>
    <mergeCell ref="A95:E96"/>
    <mergeCell ref="I87:J87"/>
    <mergeCell ref="C87:D87"/>
    <mergeCell ref="E87:G87"/>
    <mergeCell ref="E88:G88"/>
    <mergeCell ref="I88:J88"/>
    <mergeCell ref="A20:B20"/>
    <mergeCell ref="A114:F115"/>
    <mergeCell ref="A117:F118"/>
    <mergeCell ref="A104:D105"/>
    <mergeCell ref="E91:G91"/>
    <mergeCell ref="C90:D90"/>
    <mergeCell ref="C91:D91"/>
    <mergeCell ref="C89:D89"/>
    <mergeCell ref="E89:G89"/>
    <mergeCell ref="C21:I21"/>
    <mergeCell ref="H20:I20"/>
    <mergeCell ref="C20:E20"/>
    <mergeCell ref="C88:D88"/>
    <mergeCell ref="A98:D99"/>
    <mergeCell ref="I91:J91"/>
    <mergeCell ref="I90:J90"/>
    <mergeCell ref="N13:O13"/>
    <mergeCell ref="L18:N18"/>
    <mergeCell ref="H18:I18"/>
    <mergeCell ref="B13:L13"/>
    <mergeCell ref="L17:N17"/>
    <mergeCell ref="B14:M14"/>
    <mergeCell ref="B15:M15"/>
    <mergeCell ref="C17:F17"/>
    <mergeCell ref="A16:B16"/>
    <mergeCell ref="A17:B17"/>
    <mergeCell ref="L11:O11"/>
    <mergeCell ref="B6:N6"/>
    <mergeCell ref="I11:J11"/>
    <mergeCell ref="E11:G11"/>
    <mergeCell ref="E8:G8"/>
    <mergeCell ref="B11:C11"/>
    <mergeCell ref="B7:G7"/>
    <mergeCell ref="B8:D8"/>
    <mergeCell ref="L91:M91"/>
    <mergeCell ref="B83:O84"/>
    <mergeCell ref="I9:M9"/>
    <mergeCell ref="B10:C10"/>
    <mergeCell ref="B9:G9"/>
    <mergeCell ref="I10:K10"/>
    <mergeCell ref="A18:B18"/>
    <mergeCell ref="A19:B19"/>
    <mergeCell ref="C16:F16"/>
    <mergeCell ref="C19:G19"/>
    <mergeCell ref="C18:D18"/>
    <mergeCell ref="I89:J89"/>
    <mergeCell ref="L87:M87"/>
    <mergeCell ref="L88:M88"/>
    <mergeCell ref="L89:M89"/>
    <mergeCell ref="L90:M90"/>
  </mergeCells>
  <phoneticPr fontId="54" type="noConversion"/>
  <conditionalFormatting sqref="K91:L92 H91:I92 B91:C92 E91:E92 N92">
    <cfRule type="expression" dxfId="4" priority="1" stopIfTrue="1">
      <formula>B91&lt;B90</formula>
    </cfRule>
  </conditionalFormatting>
  <conditionalFormatting sqref="N91">
    <cfRule type="expression" dxfId="3" priority="3" stopIfTrue="1">
      <formula>N91&lt;O90</formula>
    </cfRule>
  </conditionalFormatting>
  <pageMargins left="0.71" right="0.61" top="0.67" bottom="0.69" header="0.5" footer="0.5"/>
  <pageSetup paperSize="9" scale="52" orientation="portrait" horizontalDpi="4294967294" r:id="rId1"/>
  <headerFooter alignWithMargins="0">
    <oddFooter>&amp;L&amp;"Arial,Regular"&amp;8&amp;F&amp;R&amp;"Arial,Regular"&amp;8&amp;D</oddFooter>
  </headerFooter>
  <rowBreaks count="1" manualBreakCount="1">
    <brk id="9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P105"/>
  <sheetViews>
    <sheetView zoomScaleNormal="100" zoomScaleSheetLayoutView="70" workbookViewId="0">
      <selection activeCell="D2" sqref="D2:J2"/>
    </sheetView>
  </sheetViews>
  <sheetFormatPr defaultRowHeight="15" x14ac:dyDescent="0.25"/>
  <cols>
    <col min="1" max="1" width="16.6640625" customWidth="1"/>
    <col min="2" max="2" width="13.75" customWidth="1"/>
    <col min="3" max="3" width="9.33203125" bestFit="1" customWidth="1"/>
    <col min="4" max="4" width="10.75" bestFit="1" customWidth="1"/>
    <col min="5" max="5" width="4.08203125" customWidth="1"/>
    <col min="6" max="6" width="2.6640625" customWidth="1"/>
    <col min="7" max="7" width="8" customWidth="1"/>
    <col min="8" max="8" width="9.25" customWidth="1"/>
    <col min="9" max="9" width="10.4140625" customWidth="1"/>
    <col min="10" max="10" width="3.08203125" customWidth="1"/>
    <col min="11" max="11" width="15.58203125" customWidth="1"/>
    <col min="12" max="12" width="8.08203125" customWidth="1"/>
    <col min="13" max="13" width="11.4140625" customWidth="1"/>
    <col min="14" max="14" width="6.58203125" customWidth="1"/>
    <col min="15" max="15" width="14.4140625" customWidth="1"/>
    <col min="16" max="16" width="15" bestFit="1" customWidth="1"/>
  </cols>
  <sheetData>
    <row r="1" spans="1:15" ht="37.5" customHeight="1" thickTop="1" x14ac:dyDescent="0.25">
      <c r="A1" s="402"/>
      <c r="B1" s="404"/>
      <c r="C1" s="404"/>
      <c r="D1" s="365"/>
      <c r="E1" s="365"/>
      <c r="F1" s="365"/>
      <c r="G1" s="130"/>
      <c r="H1" s="339" t="s">
        <v>101</v>
      </c>
      <c r="I1" s="315"/>
      <c r="J1" s="316"/>
      <c r="K1" s="365"/>
      <c r="L1" s="340"/>
      <c r="M1" s="340"/>
      <c r="N1" s="340"/>
      <c r="O1" s="341"/>
    </row>
    <row r="2" spans="1:15" ht="29.25" customHeight="1" x14ac:dyDescent="0.25">
      <c r="A2" s="493" t="s">
        <v>295</v>
      </c>
      <c r="B2" s="419"/>
      <c r="C2" s="419"/>
      <c r="D2" s="1950" t="s">
        <v>246</v>
      </c>
      <c r="E2" s="1951"/>
      <c r="F2" s="1951"/>
      <c r="G2" s="1951"/>
      <c r="H2" s="1951"/>
      <c r="I2" s="1951"/>
      <c r="J2" s="1951"/>
      <c r="K2" s="1900" t="str">
        <f>IF('Input Data'!$E$10="b",'Input Data'!E4,"USE OTHER INVOICE")</f>
        <v>MULTIDISCIPLINARY PROJECT: 2024 NDPW FEES</v>
      </c>
      <c r="L2" s="1901"/>
      <c r="M2" s="1901"/>
      <c r="N2" s="1902"/>
      <c r="O2" s="1903"/>
    </row>
    <row r="3" spans="1:15" ht="18.75" customHeight="1" x14ac:dyDescent="0.25">
      <c r="A3" s="157"/>
      <c r="B3" s="419"/>
      <c r="C3" s="419"/>
      <c r="D3" s="62"/>
      <c r="E3" s="62"/>
      <c r="F3" s="123"/>
      <c r="G3" s="123"/>
      <c r="H3" s="123"/>
      <c r="I3" s="62"/>
      <c r="J3" s="342"/>
      <c r="K3" s="342"/>
      <c r="L3" s="62"/>
      <c r="M3" s="62"/>
      <c r="N3" s="62"/>
      <c r="O3" s="492" t="str">
        <f>'Input Data'!H5</f>
        <v>Version: 1.0  2024-07</v>
      </c>
    </row>
    <row r="4" spans="1:15" ht="18" customHeight="1" x14ac:dyDescent="0.25">
      <c r="A4" s="312"/>
      <c r="B4" s="62"/>
      <c r="C4" s="62"/>
      <c r="D4" s="62"/>
      <c r="E4" s="62"/>
      <c r="F4" s="123"/>
      <c r="G4" s="123"/>
      <c r="H4" s="121" t="s">
        <v>586</v>
      </c>
      <c r="I4" s="478">
        <f>'Input Data'!D29</f>
        <v>0</v>
      </c>
      <c r="J4" s="62"/>
      <c r="K4" s="62"/>
      <c r="L4" s="62"/>
      <c r="M4" s="121" t="s">
        <v>107</v>
      </c>
      <c r="N4" s="1904">
        <f>'Input Data'!D28</f>
        <v>0</v>
      </c>
      <c r="O4" s="1905"/>
    </row>
    <row r="5" spans="1:15" ht="18" customHeight="1" thickBot="1" x14ac:dyDescent="0.3">
      <c r="A5" s="348" t="s">
        <v>209</v>
      </c>
      <c r="B5" s="351">
        <f>'Input Data'!D7</f>
        <v>0</v>
      </c>
      <c r="C5" s="62"/>
      <c r="D5" s="62"/>
      <c r="E5" s="266" t="s">
        <v>219</v>
      </c>
      <c r="F5" s="1911">
        <f>'Input Data'!D8</f>
        <v>0</v>
      </c>
      <c r="G5" s="1912"/>
      <c r="H5" s="81"/>
      <c r="I5" s="62"/>
      <c r="J5" s="62"/>
      <c r="K5" s="486"/>
      <c r="L5" s="121" t="s">
        <v>193</v>
      </c>
      <c r="M5" s="1909">
        <f>'Input Data'!D9</f>
        <v>0</v>
      </c>
      <c r="N5" s="1910"/>
      <c r="O5" s="1737"/>
    </row>
    <row r="6" spans="1:15" ht="21.75" customHeight="1" thickTop="1" thickBot="1" x14ac:dyDescent="0.3">
      <c r="A6" s="348" t="s">
        <v>19</v>
      </c>
      <c r="B6" s="1906">
        <f>'Input Data'!$D$12</f>
        <v>0</v>
      </c>
      <c r="C6" s="1907"/>
      <c r="D6" s="1907"/>
      <c r="E6" s="1884"/>
      <c r="F6" s="1884"/>
      <c r="G6" s="1907"/>
      <c r="H6" s="1907"/>
      <c r="I6" s="1907"/>
      <c r="J6" s="1907"/>
      <c r="K6" s="1907"/>
      <c r="L6" s="1908"/>
      <c r="M6" s="1908"/>
      <c r="N6" s="482"/>
      <c r="O6" s="354"/>
    </row>
    <row r="7" spans="1:15" ht="18" customHeight="1" thickTop="1" x14ac:dyDescent="0.25">
      <c r="A7" s="346" t="s">
        <v>174</v>
      </c>
      <c r="B7" s="1832" t="str">
        <f>'Input Data'!G18</f>
        <v>NATIONAL DEPARTMENT OF PUBLIC WORKS</v>
      </c>
      <c r="C7" s="1833"/>
      <c r="D7" s="1833"/>
      <c r="E7" s="1833"/>
      <c r="F7" s="1833"/>
      <c r="G7" s="1833"/>
      <c r="H7" s="62"/>
      <c r="I7" s="121" t="s">
        <v>181</v>
      </c>
      <c r="J7" s="457">
        <f>'Input Data'!D6</f>
        <v>0</v>
      </c>
      <c r="K7" s="453"/>
      <c r="L7" s="12"/>
      <c r="M7" s="270" t="s">
        <v>180</v>
      </c>
      <c r="N7" s="455" t="s">
        <v>285</v>
      </c>
      <c r="O7" s="481"/>
    </row>
    <row r="8" spans="1:15" ht="18" customHeight="1" x14ac:dyDescent="0.25">
      <c r="A8" s="346" t="s">
        <v>18</v>
      </c>
      <c r="B8" s="1955">
        <f>'Input Data'!G21</f>
        <v>0</v>
      </c>
      <c r="C8" s="1956"/>
      <c r="D8" s="1956"/>
      <c r="E8" s="1831" t="s">
        <v>171</v>
      </c>
      <c r="F8" s="1808"/>
      <c r="G8" s="1808"/>
      <c r="H8" s="1804">
        <f>'Input Data'!G22</f>
        <v>0</v>
      </c>
      <c r="I8" s="1804"/>
      <c r="J8" s="1777"/>
      <c r="K8" s="1777"/>
      <c r="L8" s="121" t="s">
        <v>190</v>
      </c>
      <c r="M8" s="452">
        <f>'Input Data'!G23</f>
        <v>0</v>
      </c>
      <c r="N8" s="62"/>
      <c r="O8" s="487"/>
    </row>
    <row r="9" spans="1:15" ht="18" customHeight="1" x14ac:dyDescent="0.25">
      <c r="A9" s="346" t="s">
        <v>254</v>
      </c>
      <c r="B9" s="1803">
        <f>'Input Data'!G26</f>
        <v>0</v>
      </c>
      <c r="C9" s="1804"/>
      <c r="D9" s="1804"/>
      <c r="E9" s="1804"/>
      <c r="F9" s="1804"/>
      <c r="G9" s="1804"/>
      <c r="H9" s="121" t="s">
        <v>192</v>
      </c>
      <c r="I9" s="1953" t="s">
        <v>335</v>
      </c>
      <c r="J9" s="1954"/>
      <c r="K9" s="1954"/>
      <c r="L9" s="1804"/>
      <c r="M9" s="1804"/>
      <c r="N9" s="121" t="s">
        <v>190</v>
      </c>
      <c r="O9" s="352">
        <f>'Input Data'!G28</f>
        <v>0</v>
      </c>
    </row>
    <row r="10" spans="1:15" ht="18" customHeight="1" x14ac:dyDescent="0.25">
      <c r="A10" s="346" t="s">
        <v>190</v>
      </c>
      <c r="B10" s="1958">
        <f>'Input Data'!G28</f>
        <v>0</v>
      </c>
      <c r="C10" s="1954"/>
      <c r="D10" s="444"/>
      <c r="E10" s="62"/>
      <c r="F10" s="62"/>
      <c r="G10" s="62"/>
      <c r="H10" s="121" t="s">
        <v>182</v>
      </c>
      <c r="I10" s="1803">
        <f>'Input Data'!G29</f>
        <v>0</v>
      </c>
      <c r="J10" s="1804"/>
      <c r="K10" s="1804"/>
      <c r="L10" s="14" t="s">
        <v>186</v>
      </c>
      <c r="M10" s="353">
        <f>'Input Data'!G30</f>
        <v>0</v>
      </c>
      <c r="N10" s="121" t="s">
        <v>291</v>
      </c>
      <c r="O10" s="359">
        <f>'Input Data'!G9</f>
        <v>0</v>
      </c>
    </row>
    <row r="11" spans="1:15" ht="18" customHeight="1" thickBot="1" x14ac:dyDescent="0.3">
      <c r="A11" s="348" t="s">
        <v>187</v>
      </c>
      <c r="B11" s="1829">
        <f>'Input Data'!G6</f>
        <v>0</v>
      </c>
      <c r="C11" s="1822"/>
      <c r="D11" s="266" t="s">
        <v>260</v>
      </c>
      <c r="E11" s="1829">
        <f>'Input Data'!G7</f>
        <v>0</v>
      </c>
      <c r="F11" s="1829"/>
      <c r="G11" s="1829"/>
      <c r="H11" s="266" t="s">
        <v>194</v>
      </c>
      <c r="I11" s="1913">
        <f>'Input Data'!G8</f>
        <v>0</v>
      </c>
      <c r="J11" s="1830"/>
      <c r="K11" s="266" t="s">
        <v>173</v>
      </c>
      <c r="L11" s="1821">
        <f>'Input Data'!G10</f>
        <v>0</v>
      </c>
      <c r="M11" s="1822"/>
      <c r="N11" s="1822"/>
      <c r="O11" s="1823"/>
    </row>
    <row r="12" spans="1:15" ht="18" thickTop="1" x14ac:dyDescent="0.25">
      <c r="A12" s="355" t="s">
        <v>247</v>
      </c>
      <c r="B12" s="344"/>
      <c r="C12" s="12"/>
      <c r="D12" s="121"/>
      <c r="E12" s="344"/>
      <c r="F12" s="344"/>
      <c r="G12" s="344"/>
      <c r="H12" s="14"/>
      <c r="I12" s="345"/>
      <c r="J12" s="62"/>
      <c r="K12" s="121"/>
      <c r="L12" s="349"/>
      <c r="M12" s="12"/>
      <c r="N12" s="12"/>
      <c r="O12" s="26"/>
    </row>
    <row r="13" spans="1:15" ht="18" customHeight="1" x14ac:dyDescent="0.25">
      <c r="A13" s="346" t="s">
        <v>293</v>
      </c>
      <c r="B13" s="1840">
        <f>'Input Data'!$D$13</f>
        <v>0</v>
      </c>
      <c r="C13" s="1914"/>
      <c r="D13" s="1914"/>
      <c r="E13" s="1914"/>
      <c r="F13" s="1914"/>
      <c r="G13" s="1914"/>
      <c r="H13" s="1914"/>
      <c r="I13" s="1914"/>
      <c r="J13" s="1914"/>
      <c r="K13" s="1914"/>
      <c r="L13" s="1914"/>
      <c r="M13" s="121" t="s">
        <v>196</v>
      </c>
      <c r="N13" s="1803">
        <f>'Input Data'!D31</f>
        <v>0</v>
      </c>
      <c r="O13" s="1787"/>
    </row>
    <row r="14" spans="1:15" ht="18" customHeight="1" x14ac:dyDescent="0.25">
      <c r="A14" s="346" t="s">
        <v>133</v>
      </c>
      <c r="B14" s="1842">
        <f>'Input Data'!$D$14</f>
        <v>0</v>
      </c>
      <c r="C14" s="1959"/>
      <c r="D14" s="1959"/>
      <c r="E14" s="1959"/>
      <c r="F14" s="1959"/>
      <c r="G14" s="1959"/>
      <c r="H14" s="1804"/>
      <c r="I14" s="1804"/>
      <c r="J14" s="1804"/>
      <c r="K14" s="1804"/>
      <c r="L14" s="1777"/>
      <c r="M14" s="1777"/>
      <c r="N14" s="121" t="s">
        <v>190</v>
      </c>
      <c r="O14" s="352">
        <f>'Input Data'!H14</f>
        <v>0</v>
      </c>
    </row>
    <row r="15" spans="1:15" ht="18" customHeight="1" x14ac:dyDescent="0.25">
      <c r="A15" s="347" t="s">
        <v>254</v>
      </c>
      <c r="B15" s="1805">
        <f>'Input Data'!D15</f>
        <v>0</v>
      </c>
      <c r="C15" s="1777"/>
      <c r="D15" s="1777"/>
      <c r="E15" s="1777"/>
      <c r="F15" s="1777"/>
      <c r="G15" s="1777"/>
      <c r="H15" s="1777"/>
      <c r="I15" s="1777"/>
      <c r="J15" s="1777"/>
      <c r="K15" s="1777"/>
      <c r="L15" s="1777"/>
      <c r="M15" s="1777"/>
      <c r="N15" s="121" t="s">
        <v>190</v>
      </c>
      <c r="O15" s="352">
        <f>'Input Data'!H15</f>
        <v>0</v>
      </c>
    </row>
    <row r="16" spans="1:15" ht="18" customHeight="1" x14ac:dyDescent="0.25">
      <c r="A16" s="312"/>
      <c r="B16" s="411"/>
      <c r="C16" s="346" t="s">
        <v>93</v>
      </c>
      <c r="D16" s="1809">
        <f>IF('Input Data'!E18="None","NOT REGISTERED FOR VAT",'Input Data'!D18)</f>
        <v>0</v>
      </c>
      <c r="E16" s="1813"/>
      <c r="F16" s="1813"/>
      <c r="G16" s="1775"/>
      <c r="H16" s="62"/>
      <c r="I16" s="62"/>
      <c r="J16" s="12"/>
      <c r="K16" s="62"/>
      <c r="L16" s="62"/>
      <c r="M16" s="62"/>
      <c r="N16" s="62"/>
      <c r="O16" s="413"/>
    </row>
    <row r="17" spans="1:15" ht="18" customHeight="1" x14ac:dyDescent="0.25">
      <c r="A17" s="312"/>
      <c r="B17" s="411"/>
      <c r="C17" s="347" t="s">
        <v>126</v>
      </c>
      <c r="D17" s="1845">
        <f>'Input Data'!D19</f>
        <v>0</v>
      </c>
      <c r="E17" s="1813"/>
      <c r="F17" s="1813"/>
      <c r="G17" s="1775"/>
      <c r="H17" s="1838"/>
      <c r="I17" s="1887"/>
      <c r="J17" s="12"/>
      <c r="K17" s="62"/>
      <c r="L17" s="62"/>
      <c r="M17" s="121" t="s">
        <v>182</v>
      </c>
      <c r="N17" s="1805">
        <f>'Input Data'!D16</f>
        <v>0</v>
      </c>
      <c r="O17" s="1957"/>
    </row>
    <row r="18" spans="1:15" ht="18" customHeight="1" x14ac:dyDescent="0.25">
      <c r="A18" s="312"/>
      <c r="B18" s="411"/>
      <c r="C18" s="346" t="s">
        <v>28</v>
      </c>
      <c r="D18" s="1952">
        <f>'Input Data'!$D$20</f>
        <v>0</v>
      </c>
      <c r="E18" s="1813"/>
      <c r="F18" s="1813"/>
      <c r="G18" s="1775"/>
      <c r="H18" s="1838"/>
      <c r="I18" s="1839"/>
      <c r="J18" s="12"/>
      <c r="K18" s="62"/>
      <c r="L18" s="62"/>
      <c r="M18" s="121" t="s">
        <v>195</v>
      </c>
      <c r="N18" s="1836">
        <f>'Input Data'!F16</f>
        <v>0</v>
      </c>
      <c r="O18" s="1957"/>
    </row>
    <row r="19" spans="1:15" ht="18" customHeight="1" x14ac:dyDescent="0.25">
      <c r="A19" s="312"/>
      <c r="B19" s="411"/>
      <c r="C19" s="346" t="s">
        <v>294</v>
      </c>
      <c r="D19" s="479">
        <f>'Input Data'!D30</f>
        <v>0</v>
      </c>
      <c r="E19" s="414"/>
      <c r="F19" s="414"/>
      <c r="G19" s="415"/>
      <c r="H19" s="1838"/>
      <c r="I19" s="1839"/>
      <c r="J19" s="12"/>
      <c r="K19" s="62"/>
      <c r="L19" s="62"/>
      <c r="M19" s="121" t="s">
        <v>186</v>
      </c>
      <c r="N19" s="1889">
        <f>'Input Data'!H16</f>
        <v>0</v>
      </c>
      <c r="O19" s="1915"/>
    </row>
    <row r="20" spans="1:15" ht="18" customHeight="1" thickBot="1" x14ac:dyDescent="0.3">
      <c r="A20" s="312"/>
      <c r="B20" s="407"/>
      <c r="C20" s="348" t="s">
        <v>29</v>
      </c>
      <c r="D20" s="1926" t="str">
        <f>'Input Data'!$D$26</f>
        <v>PERCENTAGE BASED FEES</v>
      </c>
      <c r="E20" s="1910"/>
      <c r="F20" s="1910"/>
      <c r="G20" s="1927"/>
      <c r="H20" s="1869"/>
      <c r="I20" s="1870"/>
      <c r="J20" s="11"/>
      <c r="K20" s="266" t="s">
        <v>178</v>
      </c>
      <c r="L20" s="1920">
        <f>'Input Data'!D17</f>
        <v>0</v>
      </c>
      <c r="M20" s="1830"/>
      <c r="N20" s="1830"/>
      <c r="O20" s="1891"/>
    </row>
    <row r="21" spans="1:15" ht="15.6" thickTop="1" x14ac:dyDescent="0.25">
      <c r="A21" s="280" t="str">
        <f>IF('Input Data'!$F$32&gt;3,"STAGE:","STAGE COMPLETED:")</f>
        <v>STAGE:</v>
      </c>
      <c r="B21" s="1925" t="str">
        <f>'Input Data'!D32</f>
        <v>CONTRACT ADMINISTRATION &amp; INSPECTION</v>
      </c>
      <c r="C21" s="1923"/>
      <c r="D21" s="1923"/>
      <c r="E21" s="1923"/>
      <c r="F21" s="1922"/>
      <c r="G21" s="1923"/>
      <c r="H21" s="1923"/>
      <c r="I21" s="36"/>
      <c r="J21" s="1921" t="str">
        <f>IF('Input Data'!$E$42=1,"ESTIMATED TOTAL VALUE OF ENGINEERING WORK","TOTAL VALUE OF ENGINEERING WORK")</f>
        <v>TOTAL VALUE OF ENGINEERING WORK</v>
      </c>
      <c r="K21" s="1922"/>
      <c r="L21" s="1923"/>
      <c r="M21" s="1923"/>
      <c r="N21" s="1924"/>
      <c r="O21" s="724">
        <f>IF('Input Data'!E10="b",IF('Input Data'!$E$42=1,80%*'Input Data'!$H$47,'Input Data'!$H$47),0)</f>
        <v>1000000</v>
      </c>
    </row>
    <row r="22" spans="1:15" ht="15.6" thickBot="1" x14ac:dyDescent="0.3">
      <c r="A22" s="1928"/>
      <c r="B22" s="1929"/>
      <c r="C22" s="102"/>
      <c r="D22" s="102"/>
      <c r="E22" s="102"/>
      <c r="F22" s="102"/>
      <c r="G22" s="102"/>
      <c r="H22" s="102"/>
      <c r="I22" s="102"/>
      <c r="J22" s="1930" t="str">
        <f>IF('Input Data'!$E$42=1,"ESTIMATED TOTAL VALUE OF PROJECT","TOTAL VALUE OF PROJECT")</f>
        <v>TOTAL VALUE OF PROJECT</v>
      </c>
      <c r="K22" s="1931"/>
      <c r="L22" s="1931"/>
      <c r="M22" s="1931"/>
      <c r="N22" s="1931"/>
      <c r="O22" s="725">
        <f>IF('Input Data'!E10="b",IF('Input Data'!$E$42=1,80%*'Input Data'!$H$49,'Input Data'!$H$49),0)</f>
        <v>0</v>
      </c>
    </row>
    <row r="23" spans="1:15" ht="15.6" thickTop="1" x14ac:dyDescent="0.25">
      <c r="A23" s="281" t="s">
        <v>26</v>
      </c>
      <c r="B23" s="36"/>
      <c r="C23" s="47"/>
      <c r="D23" s="43"/>
      <c r="E23" s="43"/>
      <c r="F23" s="43"/>
      <c r="G23" s="64"/>
      <c r="H23" s="65"/>
      <c r="I23" s="66">
        <f>IF('Input Data'!$E$10="B",(VLOOKUP($O$21,SCALE_EB,3)),0)</f>
        <v>144800</v>
      </c>
      <c r="J23" s="282" t="s">
        <v>197</v>
      </c>
      <c r="K23" s="268">
        <f>IF('Input Data'!$E$10="B",VLOOKUP($O$21,SCALE_EB,4),0)</f>
        <v>0.15</v>
      </c>
      <c r="L23" s="70" t="s">
        <v>1</v>
      </c>
      <c r="M23" s="68">
        <f>IF('Input Data'!$E$10="B",$O$21-(VLOOKUP($O$21,SCALE_EB,1)),0)</f>
        <v>35000</v>
      </c>
      <c r="N23" s="67" t="s">
        <v>198</v>
      </c>
      <c r="O23" s="692">
        <f>I23+K23*M23</f>
        <v>150050</v>
      </c>
    </row>
    <row r="24" spans="1:15" ht="15.6" thickBot="1" x14ac:dyDescent="0.3">
      <c r="A24" s="283" t="str">
        <f>IF('Input Data'!F36="N","NO BILL OF QUANTITIES", "TOTAL BASIC FEE")</f>
        <v>NO BILL OF QUANTITIES</v>
      </c>
      <c r="B24" s="36"/>
      <c r="C24" s="36"/>
      <c r="D24" s="36"/>
      <c r="E24" s="36"/>
      <c r="F24" s="36"/>
      <c r="G24" s="47"/>
      <c r="H24" s="65"/>
      <c r="I24" s="66"/>
      <c r="J24" s="284" t="s">
        <v>199</v>
      </c>
      <c r="K24" s="268">
        <f>IF('Input Data'!$F$36="Y",1,0.75)</f>
        <v>0.75</v>
      </c>
      <c r="L24" s="70" t="s">
        <v>1</v>
      </c>
      <c r="M24" s="66">
        <f>$O$23</f>
        <v>150050</v>
      </c>
      <c r="N24" s="67" t="s">
        <v>198</v>
      </c>
      <c r="O24" s="726">
        <f>K24*M24</f>
        <v>112537.5</v>
      </c>
    </row>
    <row r="25" spans="1:15" ht="18" thickTop="1" x14ac:dyDescent="0.25">
      <c r="A25" s="308" t="s">
        <v>617</v>
      </c>
      <c r="B25" s="71"/>
      <c r="C25" s="71"/>
      <c r="D25" s="71"/>
      <c r="E25" s="71"/>
      <c r="F25" s="71"/>
      <c r="G25" s="71"/>
      <c r="H25" s="71"/>
      <c r="I25" s="71"/>
      <c r="J25" s="71"/>
      <c r="K25" s="71"/>
      <c r="L25" s="71"/>
      <c r="M25" s="71"/>
      <c r="N25" s="71"/>
      <c r="O25" s="692"/>
    </row>
    <row r="26" spans="1:15" x14ac:dyDescent="0.25">
      <c r="A26" s="46" t="s">
        <v>252</v>
      </c>
      <c r="B26" s="36"/>
      <c r="C26" s="36"/>
      <c r="D26" s="36"/>
      <c r="E26" s="36"/>
      <c r="F26" s="36"/>
      <c r="G26" s="36"/>
      <c r="H26" s="43"/>
      <c r="I26" s="44"/>
      <c r="J26" s="67"/>
      <c r="K26" s="66"/>
      <c r="L26" s="70"/>
      <c r="M26" s="66"/>
      <c r="N26" s="67"/>
      <c r="O26" s="692">
        <f>O83</f>
        <v>78776.25</v>
      </c>
    </row>
    <row r="27" spans="1:15" x14ac:dyDescent="0.25">
      <c r="A27" s="55"/>
      <c r="B27" s="35"/>
      <c r="C27" s="36"/>
      <c r="D27" s="36"/>
      <c r="E27" s="36"/>
      <c r="F27" s="36"/>
      <c r="G27" s="48"/>
      <c r="H27" s="49"/>
      <c r="I27" s="37"/>
      <c r="J27" s="75"/>
      <c r="K27" s="75"/>
      <c r="L27" s="76"/>
      <c r="M27" s="75"/>
      <c r="N27" s="75"/>
      <c r="O27" s="693"/>
    </row>
    <row r="28" spans="1:15" x14ac:dyDescent="0.25">
      <c r="A28" s="325" t="s">
        <v>136</v>
      </c>
      <c r="B28" s="33"/>
      <c r="C28" s="36"/>
      <c r="D28" s="36"/>
      <c r="E28" s="44"/>
      <c r="F28" s="284"/>
      <c r="G28" s="48"/>
      <c r="H28" s="43"/>
      <c r="I28" s="44"/>
      <c r="J28" s="67"/>
      <c r="K28" s="66"/>
      <c r="L28" s="70"/>
      <c r="M28" s="66"/>
      <c r="N28" s="67"/>
      <c r="O28" s="692">
        <f>O86</f>
        <v>0</v>
      </c>
    </row>
    <row r="29" spans="1:15" x14ac:dyDescent="0.25">
      <c r="A29" s="269"/>
      <c r="B29" s="36"/>
      <c r="C29" s="36"/>
      <c r="D29" s="36"/>
      <c r="E29" s="36"/>
      <c r="F29" s="36"/>
      <c r="G29" s="48"/>
      <c r="H29" s="49"/>
      <c r="I29" s="37"/>
      <c r="J29" s="75"/>
      <c r="K29" s="66"/>
      <c r="L29" s="76"/>
      <c r="M29" s="75"/>
      <c r="N29" s="75"/>
      <c r="O29" s="693"/>
    </row>
    <row r="30" spans="1:15" x14ac:dyDescent="0.25">
      <c r="A30" s="326" t="s">
        <v>105</v>
      </c>
      <c r="B30" s="33"/>
      <c r="C30" s="33"/>
      <c r="D30" s="33"/>
      <c r="E30" s="36"/>
      <c r="F30" s="284"/>
      <c r="G30" s="48"/>
      <c r="H30" s="49"/>
      <c r="I30" s="44"/>
      <c r="J30" s="67"/>
      <c r="K30" s="66"/>
      <c r="L30" s="76"/>
      <c r="M30" s="66"/>
      <c r="N30" s="67"/>
      <c r="O30" s="692">
        <f>O89</f>
        <v>0</v>
      </c>
    </row>
    <row r="31" spans="1:15" x14ac:dyDescent="0.25">
      <c r="A31" s="34"/>
      <c r="B31" s="35"/>
      <c r="C31" s="36"/>
      <c r="D31" s="36"/>
      <c r="E31" s="36"/>
      <c r="F31" s="36"/>
      <c r="G31" s="48"/>
      <c r="H31" s="49"/>
      <c r="I31" s="44"/>
      <c r="J31" s="67"/>
      <c r="K31" s="77"/>
      <c r="L31" s="76"/>
      <c r="M31" s="77"/>
      <c r="N31" s="75"/>
      <c r="O31" s="693"/>
    </row>
    <row r="32" spans="1:15" x14ac:dyDescent="0.25">
      <c r="A32" s="326" t="s">
        <v>141</v>
      </c>
      <c r="B32" s="33"/>
      <c r="C32" s="33"/>
      <c r="D32" s="33"/>
      <c r="E32" s="48"/>
      <c r="F32" s="43"/>
      <c r="G32" s="48"/>
      <c r="H32" s="43"/>
      <c r="I32" s="44"/>
      <c r="J32" s="67"/>
      <c r="K32" s="66"/>
      <c r="L32" s="43"/>
      <c r="M32" s="66"/>
      <c r="N32" s="260"/>
      <c r="O32" s="692">
        <f>O92</f>
        <v>0</v>
      </c>
    </row>
    <row r="33" spans="1:16" ht="9.75" customHeight="1" x14ac:dyDescent="0.25">
      <c r="A33" s="50"/>
      <c r="B33" s="56"/>
      <c r="C33" s="56"/>
      <c r="D33" s="56"/>
      <c r="E33" s="56"/>
      <c r="F33" s="56"/>
      <c r="G33" s="56"/>
      <c r="H33" s="56"/>
      <c r="I33" s="78"/>
      <c r="J33" s="78"/>
      <c r="K33" s="79"/>
      <c r="L33" s="79"/>
      <c r="M33" s="79"/>
      <c r="N33" s="79"/>
      <c r="O33" s="695"/>
    </row>
    <row r="34" spans="1:16" ht="15.6" thickBot="1" x14ac:dyDescent="0.3">
      <c r="A34" s="38"/>
      <c r="B34" s="39"/>
      <c r="C34" s="39"/>
      <c r="D34" s="39"/>
      <c r="E34" s="39"/>
      <c r="F34" s="39"/>
      <c r="G34" s="40"/>
      <c r="H34" s="40"/>
      <c r="I34" s="41"/>
      <c r="J34" s="80"/>
      <c r="K34" s="81"/>
      <c r="L34" s="41"/>
      <c r="M34" s="293" t="s">
        <v>216</v>
      </c>
      <c r="N34" s="41"/>
      <c r="O34" s="727">
        <f>O95</f>
        <v>78776.25</v>
      </c>
    </row>
    <row r="35" spans="1:16" ht="18" thickTop="1" x14ac:dyDescent="0.25">
      <c r="A35" s="309" t="s">
        <v>618</v>
      </c>
      <c r="B35" s="35"/>
      <c r="C35" s="35"/>
      <c r="D35" s="35"/>
      <c r="E35" s="35"/>
      <c r="F35" s="35"/>
      <c r="G35" s="35"/>
      <c r="H35" s="35"/>
      <c r="I35" s="35"/>
      <c r="J35" s="35"/>
      <c r="K35" s="35"/>
      <c r="L35" s="35"/>
      <c r="M35" s="82"/>
      <c r="N35" s="35"/>
      <c r="O35" s="693"/>
    </row>
    <row r="36" spans="1:16" x14ac:dyDescent="0.25">
      <c r="A36" s="46" t="s">
        <v>253</v>
      </c>
      <c r="B36" s="62"/>
      <c r="C36" s="62"/>
      <c r="D36" s="62"/>
      <c r="E36" s="43"/>
      <c r="F36" s="43"/>
      <c r="G36" s="36"/>
      <c r="H36" s="272"/>
      <c r="I36" s="44"/>
      <c r="J36" s="65"/>
      <c r="K36" s="68"/>
      <c r="L36" s="70"/>
      <c r="M36" s="68"/>
      <c r="N36" s="260"/>
      <c r="O36" s="692">
        <f>O97</f>
        <v>0</v>
      </c>
    </row>
    <row r="37" spans="1:16" ht="8.25" customHeight="1" x14ac:dyDescent="0.25">
      <c r="A37" s="312"/>
      <c r="B37" s="62"/>
      <c r="C37" s="62"/>
      <c r="D37" s="62"/>
      <c r="E37" s="45"/>
      <c r="F37" s="45"/>
      <c r="G37" s="36"/>
      <c r="H37" s="36"/>
      <c r="I37" s="44"/>
      <c r="J37" s="47"/>
      <c r="K37" s="66"/>
      <c r="L37" s="70"/>
      <c r="M37" s="66"/>
      <c r="N37" s="66"/>
      <c r="O37" s="692"/>
    </row>
    <row r="38" spans="1:16" x14ac:dyDescent="0.25">
      <c r="A38" s="325" t="s">
        <v>136</v>
      </c>
      <c r="B38" s="33"/>
      <c r="C38" s="62"/>
      <c r="D38" s="62"/>
      <c r="E38" s="43"/>
      <c r="F38" s="271"/>
      <c r="G38" s="48"/>
      <c r="H38" s="36"/>
      <c r="I38" s="44"/>
      <c r="J38" s="65"/>
      <c r="K38" s="68"/>
      <c r="L38" s="70"/>
      <c r="M38" s="68"/>
      <c r="N38" s="260"/>
      <c r="O38" s="692">
        <f>O100</f>
        <v>0</v>
      </c>
      <c r="P38" s="812"/>
    </row>
    <row r="39" spans="1:16" ht="9" customHeight="1" x14ac:dyDescent="0.25">
      <c r="A39" s="298"/>
      <c r="B39" s="56"/>
      <c r="C39" s="51"/>
      <c r="D39" s="51"/>
      <c r="E39" s="51"/>
      <c r="F39" s="51"/>
      <c r="G39" s="51"/>
      <c r="H39" s="51"/>
      <c r="I39" s="52"/>
      <c r="J39" s="299"/>
      <c r="K39" s="52"/>
      <c r="L39" s="300"/>
      <c r="M39" s="265"/>
      <c r="N39" s="301"/>
      <c r="O39" s="728"/>
      <c r="P39" s="812"/>
    </row>
    <row r="40" spans="1:16" ht="15.6" thickBot="1" x14ac:dyDescent="0.3">
      <c r="A40" s="252"/>
      <c r="B40" s="253"/>
      <c r="C40" s="253"/>
      <c r="D40" s="302"/>
      <c r="E40" s="302"/>
      <c r="F40" s="302"/>
      <c r="G40" s="303"/>
      <c r="H40" s="304"/>
      <c r="I40" s="330"/>
      <c r="J40" s="305"/>
      <c r="K40" s="306"/>
      <c r="L40" s="306"/>
      <c r="M40" s="343" t="s">
        <v>217</v>
      </c>
      <c r="N40" s="306"/>
      <c r="O40" s="727">
        <f>O103</f>
        <v>0</v>
      </c>
      <c r="P40" s="812"/>
    </row>
    <row r="41" spans="1:16" ht="21" customHeight="1" thickTop="1" thickBot="1" x14ac:dyDescent="0.3">
      <c r="A41" s="446"/>
      <c r="B41" s="39"/>
      <c r="C41" s="39"/>
      <c r="D41" s="39"/>
      <c r="E41" s="39"/>
      <c r="F41" s="39"/>
      <c r="G41" s="39"/>
      <c r="H41" s="39"/>
      <c r="I41" s="357"/>
      <c r="J41" s="39"/>
      <c r="K41" s="39"/>
      <c r="L41" s="39"/>
      <c r="M41" s="629" t="s">
        <v>21</v>
      </c>
      <c r="N41" s="39"/>
      <c r="O41" s="704">
        <f>O104</f>
        <v>78776.25</v>
      </c>
      <c r="P41" s="812"/>
    </row>
    <row r="42" spans="1:16" ht="24" customHeight="1" thickTop="1" thickBot="1" x14ac:dyDescent="0.3">
      <c r="A42" s="371"/>
      <c r="B42" s="240"/>
      <c r="C42" s="240"/>
      <c r="D42" s="240"/>
      <c r="E42" s="240"/>
      <c r="F42" s="240"/>
      <c r="G42" s="240"/>
      <c r="H42" s="240"/>
      <c r="I42" s="357"/>
      <c r="J42" s="240"/>
      <c r="K42" s="240"/>
      <c r="L42" s="307" t="s">
        <v>162</v>
      </c>
      <c r="M42" s="1625">
        <f>'Input Data'!$D$27/100</f>
        <v>1</v>
      </c>
      <c r="N42" s="491" t="s">
        <v>163</v>
      </c>
      <c r="O42" s="714">
        <f>M42*O104</f>
        <v>78776.25</v>
      </c>
      <c r="P42" s="1193"/>
    </row>
    <row r="43" spans="1:16" ht="18" thickTop="1" x14ac:dyDescent="0.25">
      <c r="A43" s="42" t="s">
        <v>634</v>
      </c>
      <c r="B43" s="35"/>
      <c r="C43" s="35"/>
      <c r="D43" s="35"/>
      <c r="E43" s="35"/>
      <c r="F43" s="35"/>
      <c r="G43" s="35"/>
      <c r="H43" s="249"/>
      <c r="I43" s="124"/>
      <c r="J43" s="97"/>
      <c r="K43" s="35"/>
      <c r="L43" s="99"/>
      <c r="M43" s="35"/>
      <c r="N43" s="99"/>
      <c r="O43" s="693"/>
      <c r="P43" s="812"/>
    </row>
    <row r="44" spans="1:16" x14ac:dyDescent="0.25">
      <c r="A44" s="58" t="s">
        <v>147</v>
      </c>
      <c r="B44" s="94"/>
      <c r="C44" s="94"/>
      <c r="D44" s="94"/>
      <c r="E44" s="94"/>
      <c r="F44" s="94"/>
      <c r="G44" s="94"/>
      <c r="H44" s="96" t="s">
        <v>183</v>
      </c>
      <c r="I44" s="62"/>
      <c r="J44" s="97"/>
      <c r="K44" s="98"/>
      <c r="L44" s="35"/>
      <c r="M44" s="98" t="s">
        <v>215</v>
      </c>
      <c r="N44" s="260" t="s">
        <v>200</v>
      </c>
      <c r="O44" s="693">
        <f>IF('Input Data'!E10="B",IF($O$24&gt;0,0,'Time Based'!I22),0)</f>
        <v>0</v>
      </c>
      <c r="P44" s="812"/>
    </row>
    <row r="45" spans="1:16" ht="15.6" thickBot="1" x14ac:dyDescent="0.3">
      <c r="A45" s="34" t="s">
        <v>156</v>
      </c>
      <c r="B45" s="35"/>
      <c r="C45" s="35"/>
      <c r="D45" s="35"/>
      <c r="E45" s="35"/>
      <c r="F45" s="35"/>
      <c r="G45" s="35"/>
      <c r="H45" s="99" t="s">
        <v>184</v>
      </c>
      <c r="I45" s="62"/>
      <c r="J45" s="97"/>
      <c r="K45" s="100"/>
      <c r="L45" s="87"/>
      <c r="M45" s="100" t="s">
        <v>215</v>
      </c>
      <c r="N45" s="296" t="s">
        <v>200</v>
      </c>
      <c r="O45" s="694">
        <f>IF('Input Data'!E10="B",'Time Based'!I70,0)</f>
        <v>0</v>
      </c>
      <c r="P45" s="812"/>
    </row>
    <row r="46" spans="1:16" ht="15.6" thickBot="1" x14ac:dyDescent="0.3">
      <c r="A46" s="101"/>
      <c r="B46" s="102"/>
      <c r="C46" s="102"/>
      <c r="D46" s="39"/>
      <c r="E46" s="39"/>
      <c r="F46" s="39"/>
      <c r="G46" s="39"/>
      <c r="H46" s="103"/>
      <c r="I46" s="104"/>
      <c r="J46" s="105"/>
      <c r="K46" s="250"/>
      <c r="L46" s="39"/>
      <c r="M46" s="597" t="s">
        <v>311</v>
      </c>
      <c r="N46" s="106"/>
      <c r="O46" s="710">
        <f>SUM(O44:O45)</f>
        <v>0</v>
      </c>
      <c r="P46" s="1193"/>
    </row>
    <row r="47" spans="1:16" ht="18.600000000000001" thickTop="1" thickBot="1" x14ac:dyDescent="0.3">
      <c r="A47" s="846"/>
      <c r="B47" s="847"/>
      <c r="C47" s="847"/>
      <c r="D47" s="240"/>
      <c r="E47" s="240"/>
      <c r="F47" s="240"/>
      <c r="G47" s="240"/>
      <c r="H47" s="848"/>
      <c r="I47" s="849"/>
      <c r="J47" s="850"/>
      <c r="K47" s="1150"/>
      <c r="L47" s="240"/>
      <c r="M47" s="732" t="s">
        <v>331</v>
      </c>
      <c r="N47" s="491"/>
      <c r="O47" s="733">
        <f>IF('Input Data'!E10="B",'Input Data'!F11*'Input Data'!H11,0)</f>
        <v>0</v>
      </c>
      <c r="P47" s="812"/>
    </row>
    <row r="48" spans="1:16" ht="18" thickTop="1" x14ac:dyDescent="0.25">
      <c r="A48" s="42" t="s">
        <v>633</v>
      </c>
      <c r="B48" s="35"/>
      <c r="C48" s="35"/>
      <c r="D48" s="35"/>
      <c r="E48" s="35"/>
      <c r="F48" s="35"/>
      <c r="G48" s="35"/>
      <c r="H48" s="35"/>
      <c r="I48" s="35"/>
      <c r="J48" s="35"/>
      <c r="K48" s="35"/>
      <c r="L48" s="35"/>
      <c r="M48" s="107"/>
      <c r="N48" s="108"/>
      <c r="O48" s="693"/>
      <c r="P48" s="812"/>
    </row>
    <row r="49" spans="1:16" x14ac:dyDescent="0.25">
      <c r="A49" s="34" t="s">
        <v>590</v>
      </c>
      <c r="B49" s="35"/>
      <c r="C49" s="242" t="s">
        <v>164</v>
      </c>
      <c r="D49" s="35"/>
      <c r="E49" s="35"/>
      <c r="F49" s="35"/>
      <c r="G49" s="35"/>
      <c r="H49" s="35"/>
      <c r="I49" s="35"/>
      <c r="J49" s="35"/>
      <c r="K49" s="99"/>
      <c r="L49" s="35"/>
      <c r="M49" s="98" t="s">
        <v>215</v>
      </c>
      <c r="N49" s="260" t="s">
        <v>200</v>
      </c>
      <c r="O49" s="716">
        <f>IF('Input Data'!E10="B",'Subsistance &amp; Travelling'!O86,0)</f>
        <v>0</v>
      </c>
      <c r="P49" s="812"/>
    </row>
    <row r="50" spans="1:16" x14ac:dyDescent="0.25">
      <c r="A50" s="34" t="s">
        <v>78</v>
      </c>
      <c r="B50" s="35"/>
      <c r="C50" s="35"/>
      <c r="D50" s="35"/>
      <c r="E50" s="35"/>
      <c r="F50" s="35"/>
      <c r="G50" s="35"/>
      <c r="H50" s="35"/>
      <c r="I50" s="35"/>
      <c r="J50" s="35"/>
      <c r="K50" s="99"/>
      <c r="L50" s="297"/>
      <c r="M50" s="98" t="s">
        <v>215</v>
      </c>
      <c r="N50" s="260" t="s">
        <v>200</v>
      </c>
      <c r="O50" s="716">
        <f>IF('Input Data'!$E$10="B",'Typing, Duplicating, &amp; Printing'!J63,0)</f>
        <v>0</v>
      </c>
      <c r="P50" s="812"/>
    </row>
    <row r="51" spans="1:16" x14ac:dyDescent="0.25">
      <c r="A51" s="34" t="s">
        <v>582</v>
      </c>
      <c r="B51" s="35"/>
      <c r="C51" s="35"/>
      <c r="D51" s="35"/>
      <c r="E51" s="35"/>
      <c r="F51" s="35"/>
      <c r="G51" s="35"/>
      <c r="H51" s="35"/>
      <c r="I51" s="35"/>
      <c r="J51" s="35"/>
      <c r="K51" s="99"/>
      <c r="L51" s="35"/>
      <c r="M51" s="98" t="s">
        <v>215</v>
      </c>
      <c r="N51" s="260" t="s">
        <v>200</v>
      </c>
      <c r="O51" s="716">
        <f>IF('Input Data'!$E$10="B",'Site staff &amp; Other'!I49,0)</f>
        <v>0</v>
      </c>
      <c r="P51" s="812"/>
    </row>
    <row r="52" spans="1:16" ht="15.6" thickBot="1" x14ac:dyDescent="0.3">
      <c r="A52" s="1126" t="s">
        <v>583</v>
      </c>
      <c r="B52" s="35"/>
      <c r="C52" s="35"/>
      <c r="D52" s="35"/>
      <c r="E52" s="35"/>
      <c r="F52" s="35"/>
      <c r="G52" s="35"/>
      <c r="H52" s="35"/>
      <c r="I52" s="35"/>
      <c r="J52" s="35"/>
      <c r="K52" s="99"/>
      <c r="L52" s="35"/>
      <c r="M52" s="100" t="s">
        <v>215</v>
      </c>
      <c r="N52" s="296" t="s">
        <v>200</v>
      </c>
      <c r="O52" s="717">
        <f>IF('Input Data'!$E$10="B",'Site staff &amp; Other'!I64,0)</f>
        <v>0</v>
      </c>
      <c r="P52" s="812"/>
    </row>
    <row r="53" spans="1:16" ht="15.6" thickBot="1" x14ac:dyDescent="0.3">
      <c r="A53" s="101"/>
      <c r="B53" s="39"/>
      <c r="C53" s="39"/>
      <c r="D53" s="39"/>
      <c r="E53" s="39"/>
      <c r="F53" s="39"/>
      <c r="G53" s="39"/>
      <c r="H53" s="110"/>
      <c r="I53" s="102"/>
      <c r="J53" s="39"/>
      <c r="K53" s="1916" t="s">
        <v>242</v>
      </c>
      <c r="L53" s="1917"/>
      <c r="M53" s="1917"/>
      <c r="N53" s="11"/>
      <c r="O53" s="718">
        <f>SUM(O49:O52)</f>
        <v>0</v>
      </c>
      <c r="P53" s="1193"/>
    </row>
    <row r="54" spans="1:16" ht="15.6" thickTop="1" x14ac:dyDescent="0.25">
      <c r="A54" s="111"/>
      <c r="B54" s="291" t="s">
        <v>218</v>
      </c>
      <c r="C54" s="112"/>
      <c r="D54" s="35"/>
      <c r="E54" s="35"/>
      <c r="F54" s="35"/>
      <c r="G54" s="35"/>
      <c r="H54" s="35"/>
      <c r="I54" s="113"/>
      <c r="J54" s="35"/>
      <c r="K54" s="35"/>
      <c r="L54" s="35"/>
      <c r="M54" s="291" t="s">
        <v>218</v>
      </c>
      <c r="N54" s="35"/>
      <c r="O54" s="720">
        <f>O42-O47+O46+O53</f>
        <v>78776.25</v>
      </c>
      <c r="P54" s="1193"/>
    </row>
    <row r="55" spans="1:16" ht="15.6" thickBot="1" x14ac:dyDescent="0.3">
      <c r="A55" s="34"/>
      <c r="B55" s="35"/>
      <c r="C55" s="35"/>
      <c r="D55" s="35"/>
      <c r="E55" s="35"/>
      <c r="F55" s="35"/>
      <c r="G55" s="36"/>
      <c r="H55" s="36"/>
      <c r="I55" s="90"/>
      <c r="J55" s="109"/>
      <c r="K55" s="109"/>
      <c r="L55" s="87"/>
      <c r="M55" s="100" t="s">
        <v>95</v>
      </c>
      <c r="N55" s="87"/>
      <c r="O55" s="729">
        <f>IF('Input Data'!E10="B",ROUND('Previous Claims'!M42,2),0)</f>
        <v>0</v>
      </c>
      <c r="P55" s="1193"/>
    </row>
    <row r="56" spans="1:16" ht="22.5" customHeight="1" thickBot="1" x14ac:dyDescent="0.3">
      <c r="A56" s="34"/>
      <c r="B56" s="310"/>
      <c r="C56" s="39"/>
      <c r="D56" s="35"/>
      <c r="E56" s="35"/>
      <c r="F56" s="35"/>
      <c r="G56" s="114"/>
      <c r="H56" s="49"/>
      <c r="I56" s="1918" t="str">
        <f>IF($O$54&lt;$O$55,"OVERPAID BY (Ecl Tax)",IF($O$54&gt;$O$55,"FEES NOW DUE EXCLUDING VAT &amp; NON TAXABLE AMOUNT",""))</f>
        <v>FEES NOW DUE EXCLUDING VAT &amp; NON TAXABLE AMOUNT</v>
      </c>
      <c r="J56" s="1918"/>
      <c r="K56" s="1918"/>
      <c r="L56" s="1918"/>
      <c r="M56" s="1918"/>
      <c r="N56" s="1918"/>
      <c r="O56" s="720">
        <f>O54-O55</f>
        <v>78776.25</v>
      </c>
      <c r="P56" s="812"/>
    </row>
    <row r="57" spans="1:16" ht="15.6" thickTop="1" x14ac:dyDescent="0.25">
      <c r="A57" s="111"/>
      <c r="B57" s="112"/>
      <c r="C57" s="35"/>
      <c r="D57" s="112" t="s">
        <v>0</v>
      </c>
      <c r="E57" s="112"/>
      <c r="F57" s="112"/>
      <c r="G57" s="251"/>
      <c r="H57" s="115">
        <f>IF('Input Data'!D28&lt;43191,14%,15%)</f>
        <v>0.14000000000000001</v>
      </c>
      <c r="I57" s="112" t="s">
        <v>22</v>
      </c>
      <c r="J57" s="36"/>
      <c r="K57" s="116">
        <f>IF('Input Data'!D18="None",0,O56)</f>
        <v>78776.25</v>
      </c>
      <c r="L57" s="112"/>
      <c r="M57" s="112"/>
      <c r="N57" s="112"/>
      <c r="O57" s="721">
        <f>IF('Input Data'!E18="none",0,H57*K57)</f>
        <v>11028.675000000001</v>
      </c>
      <c r="P57" s="812"/>
    </row>
    <row r="58" spans="1:16" x14ac:dyDescent="0.25">
      <c r="A58" s="34"/>
      <c r="B58" s="35"/>
      <c r="C58" s="35"/>
      <c r="D58" s="114"/>
      <c r="E58" s="114"/>
      <c r="F58" s="114"/>
      <c r="G58" s="99"/>
      <c r="H58" s="117"/>
      <c r="I58" s="56"/>
      <c r="J58" s="118"/>
      <c r="K58" s="51"/>
      <c r="L58" s="119"/>
      <c r="M58" s="292" t="s">
        <v>106</v>
      </c>
      <c r="N58" s="120"/>
      <c r="O58" s="722">
        <f>'Non Taxable'!J21</f>
        <v>0</v>
      </c>
    </row>
    <row r="59" spans="1:16" ht="24" customHeight="1" thickBot="1" x14ac:dyDescent="0.3">
      <c r="A59" s="252"/>
      <c r="B59" s="253"/>
      <c r="C59" s="253"/>
      <c r="D59" s="253"/>
      <c r="E59" s="253"/>
      <c r="F59" s="253"/>
      <c r="G59" s="253"/>
      <c r="H59" s="254"/>
      <c r="I59" s="1918" t="str">
        <f>IF($O$54&lt;$O$55,"AMOUNT TO BE RECOVERED (Incl VAT)",IF($O$54&gt;$O$55,"FEES NOW DUE INCLUDING VAT &amp; NON TAXABLE AMOUNT",""))</f>
        <v>FEES NOW DUE INCLUDING VAT &amp; NON TAXABLE AMOUNT</v>
      </c>
      <c r="J59" s="1919"/>
      <c r="K59" s="1919"/>
      <c r="L59" s="1919"/>
      <c r="M59" s="1919"/>
      <c r="N59" s="1919"/>
      <c r="O59" s="730">
        <f>O56+O57+O58</f>
        <v>89804.925000000003</v>
      </c>
    </row>
    <row r="60" spans="1:16" ht="9" customHeight="1" thickTop="1" x14ac:dyDescent="0.25">
      <c r="A60" s="552"/>
      <c r="B60" s="612"/>
      <c r="C60" s="613"/>
      <c r="D60" s="613"/>
      <c r="E60" s="614"/>
      <c r="F60" s="613"/>
      <c r="G60" s="613"/>
      <c r="H60" s="613"/>
      <c r="I60" s="615"/>
      <c r="J60" s="616"/>
      <c r="K60" s="616"/>
      <c r="L60" s="616"/>
      <c r="M60" s="617"/>
      <c r="N60" s="618"/>
      <c r="O60" s="619"/>
    </row>
    <row r="61" spans="1:16" ht="15.6" x14ac:dyDescent="0.25">
      <c r="A61" s="602" t="s">
        <v>308</v>
      </c>
      <c r="B61" s="562"/>
      <c r="C61" s="554"/>
      <c r="D61" s="554"/>
      <c r="E61" s="554"/>
      <c r="F61" s="554"/>
      <c r="G61" s="603" t="s">
        <v>309</v>
      </c>
      <c r="H61" s="554"/>
      <c r="I61" s="554"/>
      <c r="J61" s="557"/>
      <c r="K61" s="557"/>
      <c r="L61" s="557"/>
      <c r="M61" s="557"/>
      <c r="N61" s="557"/>
      <c r="O61" s="620"/>
    </row>
    <row r="62" spans="1:16" ht="12.75" customHeight="1" x14ac:dyDescent="0.25">
      <c r="A62" s="563"/>
      <c r="B62" s="562"/>
      <c r="C62" s="554"/>
      <c r="D62" s="554"/>
      <c r="E62" s="554"/>
      <c r="F62" s="554"/>
      <c r="G62" s="554"/>
      <c r="H62" s="554"/>
      <c r="I62" s="554"/>
      <c r="J62" s="557"/>
      <c r="K62" s="557"/>
      <c r="L62" s="557"/>
      <c r="M62" s="557"/>
      <c r="N62" s="557"/>
      <c r="O62" s="620"/>
    </row>
    <row r="63" spans="1:16" ht="15.6" x14ac:dyDescent="0.25">
      <c r="A63" s="564"/>
      <c r="B63" s="565" t="s">
        <v>221</v>
      </c>
      <c r="C63" s="566"/>
      <c r="D63" s="567"/>
      <c r="E63" s="581"/>
      <c r="F63" s="581"/>
      <c r="G63" s="581"/>
      <c r="H63" s="581"/>
      <c r="I63" s="569"/>
      <c r="J63" s="557"/>
      <c r="K63" s="569"/>
      <c r="L63" s="565" t="s">
        <v>222</v>
      </c>
      <c r="M63" s="570"/>
      <c r="N63" s="570"/>
      <c r="O63" s="621"/>
    </row>
    <row r="64" spans="1:16" ht="16.2" thickBot="1" x14ac:dyDescent="0.3">
      <c r="A64" s="571"/>
      <c r="B64" s="572"/>
      <c r="C64" s="573"/>
      <c r="D64" s="573"/>
      <c r="E64" s="573" t="s">
        <v>223</v>
      </c>
      <c r="F64" s="573"/>
      <c r="G64" s="573"/>
      <c r="H64" s="573"/>
      <c r="I64" s="574"/>
      <c r="J64" s="575"/>
      <c r="K64" s="575"/>
      <c r="L64" s="575"/>
      <c r="M64" s="575"/>
      <c r="N64" s="575"/>
      <c r="O64" s="622"/>
    </row>
    <row r="65" spans="1:16" ht="15.6" thickTop="1" x14ac:dyDescent="0.25">
      <c r="A65" s="576" t="s">
        <v>224</v>
      </c>
      <c r="B65" s="553"/>
      <c r="C65" s="554"/>
      <c r="D65" s="568"/>
      <c r="E65" s="568"/>
      <c r="F65" s="554"/>
      <c r="G65" s="568"/>
      <c r="H65" s="568"/>
      <c r="I65" s="555"/>
      <c r="J65" s="577"/>
      <c r="K65" s="554"/>
      <c r="L65" s="577"/>
      <c r="M65" s="554"/>
      <c r="N65" s="577"/>
      <c r="O65" s="578"/>
    </row>
    <row r="66" spans="1:16" x14ac:dyDescent="0.25">
      <c r="A66" s="561" t="s">
        <v>225</v>
      </c>
      <c r="B66" s="562"/>
      <c r="C66" s="554"/>
      <c r="D66" s="568"/>
      <c r="E66" s="568"/>
      <c r="F66" s="554"/>
      <c r="G66" s="568"/>
      <c r="H66" s="568"/>
      <c r="I66" s="554"/>
      <c r="J66" s="577"/>
      <c r="K66" s="554"/>
      <c r="L66" s="577"/>
      <c r="M66" s="554"/>
      <c r="N66" s="577"/>
      <c r="O66" s="578"/>
    </row>
    <row r="67" spans="1:16" ht="15.75" customHeight="1" x14ac:dyDescent="0.25">
      <c r="A67" s="563"/>
      <c r="B67" s="562"/>
      <c r="C67" s="554"/>
      <c r="D67" s="568"/>
      <c r="E67" s="568"/>
      <c r="F67" s="554"/>
      <c r="G67" s="568"/>
      <c r="H67" s="568"/>
      <c r="I67" s="554"/>
      <c r="J67" s="558"/>
      <c r="K67" s="554"/>
      <c r="L67" s="579"/>
      <c r="M67" s="554"/>
      <c r="N67" s="580"/>
      <c r="O67" s="578"/>
    </row>
    <row r="68" spans="1:16" ht="15.6" x14ac:dyDescent="0.25">
      <c r="A68" s="564"/>
      <c r="B68" s="565" t="s">
        <v>226</v>
      </c>
      <c r="C68" s="566"/>
      <c r="D68" s="581"/>
      <c r="E68" s="581"/>
      <c r="F68" s="567"/>
      <c r="G68" s="581"/>
      <c r="H68" s="581"/>
      <c r="I68" s="570"/>
      <c r="J68" s="604"/>
      <c r="K68" s="568"/>
      <c r="L68" s="565" t="s">
        <v>227</v>
      </c>
      <c r="M68" s="570"/>
      <c r="N68" s="582"/>
      <c r="O68" s="609"/>
    </row>
    <row r="69" spans="1:16" ht="15.6" x14ac:dyDescent="0.25">
      <c r="A69" s="584"/>
      <c r="B69" s="585"/>
      <c r="C69" s="586"/>
      <c r="D69" s="568"/>
      <c r="E69" s="568"/>
      <c r="F69" s="554"/>
      <c r="G69" s="568"/>
      <c r="H69" s="568"/>
      <c r="I69" s="569"/>
      <c r="J69" s="604"/>
      <c r="K69" s="565"/>
      <c r="L69" s="577"/>
      <c r="M69" s="569"/>
      <c r="N69" s="587"/>
      <c r="O69" s="583"/>
    </row>
    <row r="70" spans="1:16" x14ac:dyDescent="0.25">
      <c r="A70" s="605"/>
      <c r="B70" s="606" t="s">
        <v>222</v>
      </c>
      <c r="C70" s="567"/>
      <c r="D70" s="581"/>
      <c r="E70" s="581"/>
      <c r="F70" s="567"/>
      <c r="G70" s="581"/>
      <c r="H70" s="581"/>
      <c r="I70" s="567"/>
      <c r="J70" s="607"/>
      <c r="K70" s="606"/>
      <c r="L70" s="606" t="s">
        <v>222</v>
      </c>
      <c r="M70" s="570"/>
      <c r="N70" s="608"/>
      <c r="O70" s="609"/>
    </row>
    <row r="71" spans="1:16" x14ac:dyDescent="0.25">
      <c r="A71" s="610" t="s">
        <v>310</v>
      </c>
      <c r="B71" s="1798"/>
      <c r="C71" s="1799"/>
      <c r="D71" s="1799"/>
      <c r="E71" s="1799"/>
      <c r="F71" s="1799"/>
      <c r="G71" s="1799"/>
      <c r="H71" s="1799"/>
      <c r="I71" s="1799"/>
      <c r="J71" s="1799"/>
      <c r="K71" s="1799"/>
      <c r="L71" s="1799"/>
      <c r="M71" s="1799"/>
      <c r="N71" s="1799"/>
      <c r="O71" s="1800"/>
    </row>
    <row r="72" spans="1:16" ht="15.6" thickBot="1" x14ac:dyDescent="0.3">
      <c r="A72" s="611"/>
      <c r="B72" s="1801"/>
      <c r="C72" s="1801"/>
      <c r="D72" s="1801"/>
      <c r="E72" s="1801"/>
      <c r="F72" s="1801"/>
      <c r="G72" s="1801"/>
      <c r="H72" s="1801"/>
      <c r="I72" s="1801"/>
      <c r="J72" s="1801"/>
      <c r="K72" s="1801"/>
      <c r="L72" s="1801"/>
      <c r="M72" s="1801"/>
      <c r="N72" s="1801"/>
      <c r="O72" s="1802"/>
    </row>
    <row r="73" spans="1:16" ht="16.2" thickTop="1" x14ac:dyDescent="0.25">
      <c r="A73" s="426" t="s">
        <v>224</v>
      </c>
      <c r="B73" s="427"/>
      <c r="C73" s="428"/>
      <c r="D73" s="365"/>
      <c r="E73" s="365"/>
      <c r="F73" s="428"/>
      <c r="G73" s="365"/>
      <c r="H73" s="365"/>
      <c r="I73" s="428"/>
      <c r="J73" s="365"/>
      <c r="K73" s="427"/>
      <c r="L73" s="365"/>
      <c r="M73" s="428"/>
      <c r="N73" s="429"/>
      <c r="O73" s="430"/>
    </row>
    <row r="74" spans="1:16" ht="15.6" x14ac:dyDescent="0.25">
      <c r="A74" s="431" t="s">
        <v>228</v>
      </c>
      <c r="B74" s="432" t="s">
        <v>229</v>
      </c>
      <c r="C74" s="425"/>
      <c r="D74" s="79"/>
      <c r="E74" s="79"/>
      <c r="F74" s="425"/>
      <c r="G74" s="79"/>
      <c r="H74" s="79"/>
      <c r="I74" s="425"/>
      <c r="J74" s="79"/>
      <c r="K74" s="425"/>
      <c r="L74" s="79"/>
      <c r="M74" s="425" t="str">
        <f>LOWER(L75)</f>
        <v>less penalty applied</v>
      </c>
      <c r="N74" s="433"/>
      <c r="O74" s="434"/>
    </row>
    <row r="75" spans="1:16" ht="39.6" x14ac:dyDescent="0.25">
      <c r="A75" s="435" t="s">
        <v>230</v>
      </c>
      <c r="B75" s="1162" t="s">
        <v>231</v>
      </c>
      <c r="C75" s="1877" t="s">
        <v>232</v>
      </c>
      <c r="D75" s="1946"/>
      <c r="E75" s="1818" t="s">
        <v>593</v>
      </c>
      <c r="F75" s="1947"/>
      <c r="G75" s="1947"/>
      <c r="H75" s="438" t="s">
        <v>234</v>
      </c>
      <c r="I75" s="1818" t="s">
        <v>235</v>
      </c>
      <c r="J75" s="1940"/>
      <c r="K75" s="1162" t="s">
        <v>236</v>
      </c>
      <c r="L75" s="1183" t="s">
        <v>357</v>
      </c>
      <c r="M75" s="1164" t="s">
        <v>237</v>
      </c>
      <c r="N75" s="1818" t="s">
        <v>238</v>
      </c>
      <c r="O75" s="1899"/>
    </row>
    <row r="76" spans="1:16" x14ac:dyDescent="0.25">
      <c r="A76" s="439" t="s">
        <v>239</v>
      </c>
      <c r="B76" s="1163">
        <f>'Previous Claims'!O42-C76-E76-H76-I76-M76</f>
        <v>0</v>
      </c>
      <c r="C76" s="1816">
        <f>'Time Based'!I71</f>
        <v>0</v>
      </c>
      <c r="D76" s="1943"/>
      <c r="E76" s="1879">
        <f>'Subsistance &amp; Travelling'!O87</f>
        <v>0</v>
      </c>
      <c r="F76" s="1944"/>
      <c r="G76" s="1944"/>
      <c r="H76" s="1161">
        <f>'Typing, Duplicating, &amp; Printing'!J64</f>
        <v>0</v>
      </c>
      <c r="I76" s="1819">
        <f>'Site staff &amp; Other'!I67</f>
        <v>0</v>
      </c>
      <c r="J76" s="1945"/>
      <c r="K76" s="1163">
        <f>'Previous Claims'!J42</f>
        <v>0</v>
      </c>
      <c r="L76" s="1190"/>
      <c r="M76" s="1160">
        <f>'Non Taxable'!J20</f>
        <v>0</v>
      </c>
      <c r="N76" s="1819">
        <f>SUM(B76:M76)</f>
        <v>0</v>
      </c>
      <c r="O76" s="1899"/>
    </row>
    <row r="77" spans="1:16" x14ac:dyDescent="0.25">
      <c r="A77" s="439" t="s">
        <v>240</v>
      </c>
      <c r="B77" s="1163">
        <f>O42-B76</f>
        <v>78776.25</v>
      </c>
      <c r="C77" s="1816">
        <f>O46-C76</f>
        <v>0</v>
      </c>
      <c r="D77" s="1817"/>
      <c r="E77" s="1862">
        <f>O49-E76</f>
        <v>0</v>
      </c>
      <c r="F77" s="1863"/>
      <c r="G77" s="1864"/>
      <c r="H77" s="626">
        <f>O50-H76</f>
        <v>0</v>
      </c>
      <c r="I77" s="1816">
        <f>O51+O52-I76</f>
        <v>0</v>
      </c>
      <c r="J77" s="1817"/>
      <c r="K77" s="1163">
        <f>O57</f>
        <v>11028.675000000001</v>
      </c>
      <c r="L77" s="1190">
        <f>-O47</f>
        <v>0</v>
      </c>
      <c r="M77" s="1160">
        <f>O58</f>
        <v>0</v>
      </c>
      <c r="N77" s="1819">
        <f>N78-N76</f>
        <v>89804.925000000003</v>
      </c>
      <c r="O77" s="1899"/>
      <c r="P77" s="1192"/>
    </row>
    <row r="78" spans="1:16" x14ac:dyDescent="0.25">
      <c r="A78" s="439" t="s">
        <v>241</v>
      </c>
      <c r="B78" s="1163">
        <f>B76+B77</f>
        <v>78776.25</v>
      </c>
      <c r="C78" s="1816">
        <f>C76+C77</f>
        <v>0</v>
      </c>
      <c r="D78" s="1943"/>
      <c r="E78" s="1879">
        <f>E76+E77</f>
        <v>0</v>
      </c>
      <c r="F78" s="1944"/>
      <c r="G78" s="1944"/>
      <c r="H78" s="1161">
        <f>H76+H77</f>
        <v>0</v>
      </c>
      <c r="I78" s="1819">
        <f>I76+I77</f>
        <v>0</v>
      </c>
      <c r="J78" s="1945"/>
      <c r="K78" s="1163">
        <f>K76+K77</f>
        <v>11028.675000000001</v>
      </c>
      <c r="L78" s="1190">
        <f>L76+L77</f>
        <v>0</v>
      </c>
      <c r="M78" s="1160">
        <f>M76+M77</f>
        <v>0</v>
      </c>
      <c r="N78" s="1819">
        <f>SUM(B78:M78)</f>
        <v>89804.925000000003</v>
      </c>
      <c r="O78" s="1899"/>
      <c r="P78" s="1192"/>
    </row>
    <row r="79" spans="1:16" ht="15.6" thickBot="1" x14ac:dyDescent="0.3">
      <c r="A79" s="440" t="s">
        <v>228</v>
      </c>
      <c r="B79" s="627"/>
      <c r="C79" s="1934"/>
      <c r="D79" s="1935"/>
      <c r="E79" s="1936"/>
      <c r="F79" s="1937"/>
      <c r="G79" s="1937"/>
      <c r="H79" s="628"/>
      <c r="I79" s="1938"/>
      <c r="J79" s="1939"/>
      <c r="K79" s="1166"/>
      <c r="L79" s="1165"/>
      <c r="M79" s="1191"/>
      <c r="N79" s="1932">
        <f>SUM(B79:L79)</f>
        <v>0</v>
      </c>
      <c r="O79" s="1933"/>
    </row>
    <row r="80" spans="1:16" ht="16.2" thickTop="1" thickBot="1" x14ac:dyDescent="0.3">
      <c r="A80" s="1184" t="s">
        <v>244</v>
      </c>
      <c r="B80" s="1185"/>
      <c r="C80" s="1185"/>
      <c r="D80" s="1185"/>
      <c r="E80" s="1185"/>
      <c r="F80" s="1185"/>
      <c r="G80" s="1185"/>
      <c r="H80" s="1185"/>
      <c r="I80" s="1185"/>
      <c r="J80" s="1185"/>
      <c r="K80" s="1185"/>
      <c r="L80" s="1185"/>
      <c r="M80" s="1185"/>
      <c r="N80" s="1185"/>
      <c r="O80" s="1186"/>
    </row>
    <row r="81" spans="1:15" ht="16.2" thickTop="1" thickBot="1" x14ac:dyDescent="0.3">
      <c r="A81" s="1187" t="s">
        <v>243</v>
      </c>
      <c r="B81" s="1188"/>
      <c r="C81" s="1188"/>
      <c r="D81" s="1188"/>
      <c r="E81" s="1188"/>
      <c r="F81" s="1188"/>
      <c r="G81" s="1188"/>
      <c r="H81" s="1188"/>
      <c r="I81" s="1188"/>
      <c r="J81" s="1188"/>
      <c r="K81" s="1188"/>
      <c r="L81" s="1188"/>
      <c r="M81" s="1188"/>
      <c r="N81" s="1188"/>
      <c r="O81" s="1189"/>
    </row>
    <row r="82" spans="1:15" ht="18" thickTop="1" x14ac:dyDescent="0.25">
      <c r="A82" s="308" t="s">
        <v>617</v>
      </c>
      <c r="B82" s="71"/>
      <c r="C82" s="71"/>
      <c r="D82" s="71"/>
      <c r="E82" s="71"/>
      <c r="F82" s="71"/>
      <c r="G82" s="71"/>
      <c r="H82" s="71"/>
      <c r="I82" s="71"/>
      <c r="J82" s="71"/>
      <c r="K82" s="71"/>
      <c r="L82" s="71"/>
      <c r="M82" s="71"/>
      <c r="N82" s="71"/>
      <c r="O82" s="72"/>
    </row>
    <row r="83" spans="1:15" ht="15" customHeight="1" thickBot="1" x14ac:dyDescent="0.3">
      <c r="A83" s="1851" t="s">
        <v>252</v>
      </c>
      <c r="B83" s="1941"/>
      <c r="C83" s="1941"/>
      <c r="D83" s="1941"/>
      <c r="E83" s="1941"/>
      <c r="F83" s="36"/>
      <c r="G83" s="36"/>
      <c r="H83" s="43"/>
      <c r="I83" s="1294">
        <f>IF('Input Data'!$F$32=1,0.05,IF('Input Data'!$F$32=2,Scales!$L$5,IF('Input Data'!$F$32=3,Scales!$L$6,IF('Input Data'!$F$32=4,Scales!$L$7,IF('Input Data'!$F$32&gt;4,0.7)))))</f>
        <v>0.7</v>
      </c>
      <c r="J83" s="67" t="s">
        <v>2</v>
      </c>
      <c r="K83" s="73">
        <f>IF('Input Data'!$E$10="B",'Input Data'!$H$43,0)</f>
        <v>1000000</v>
      </c>
      <c r="L83" s="70" t="s">
        <v>24</v>
      </c>
      <c r="M83" s="66">
        <f>IF('Input Data'!$H$43&gt;0,IF('Input Data'!$D$34="N",$O$24,0),0)</f>
        <v>112537.5</v>
      </c>
      <c r="N83" s="67" t="s">
        <v>200</v>
      </c>
      <c r="O83" s="692">
        <f>IF('Input Data'!$E$10="B",IF('Input Data'!$H$43&gt;0,IF('Input Data'!$D$34="N",(I83*K83/K84*M83),0),0),0)</f>
        <v>78776.25</v>
      </c>
    </row>
    <row r="84" spans="1:15" x14ac:dyDescent="0.25">
      <c r="A84" s="1942"/>
      <c r="B84" s="1941"/>
      <c r="C84" s="1941"/>
      <c r="D84" s="1941"/>
      <c r="E84" s="1941"/>
      <c r="F84" s="36"/>
      <c r="G84" s="74"/>
      <c r="H84" s="45"/>
      <c r="I84" s="1295"/>
      <c r="J84" s="66"/>
      <c r="K84" s="66">
        <f>IF('Input Data'!$E$10="B",IF('Input Data'!$H$43&gt;0,'Input Data'!$H$47,0),0)</f>
        <v>1000000</v>
      </c>
      <c r="L84" s="70"/>
      <c r="M84" s="66"/>
      <c r="N84" s="69"/>
      <c r="O84" s="692"/>
    </row>
    <row r="85" spans="1:15" x14ac:dyDescent="0.25">
      <c r="A85" s="55"/>
      <c r="B85" s="35"/>
      <c r="C85" s="36"/>
      <c r="D85" s="36"/>
      <c r="E85" s="36"/>
      <c r="F85" s="36"/>
      <c r="G85" s="48"/>
      <c r="H85" s="49"/>
      <c r="I85" s="1296"/>
      <c r="J85" s="75"/>
      <c r="K85" s="75"/>
      <c r="L85" s="76"/>
      <c r="M85" s="75"/>
      <c r="N85" s="75"/>
      <c r="O85" s="693"/>
    </row>
    <row r="86" spans="1:15" ht="15" customHeight="1" thickBot="1" x14ac:dyDescent="0.3">
      <c r="A86" s="1854" t="s">
        <v>136</v>
      </c>
      <c r="B86" s="1872"/>
      <c r="C86" s="1941"/>
      <c r="D86" s="1941"/>
      <c r="E86" s="44"/>
      <c r="F86" s="284"/>
      <c r="G86" s="48">
        <f>IF('Input Data'!$H$44&gt;0,1.25,0)</f>
        <v>0</v>
      </c>
      <c r="H86" s="43" t="s">
        <v>1</v>
      </c>
      <c r="I86" s="1294">
        <f>IF('Input Data'!$F$32=1,0.05,IF('Input Data'!$F$32=2,Scales!$L$5,IF('Input Data'!$F$32=3,Scales!$L$6,IF('Input Data'!$F$32=4,Scales!$L$7,IF('Input Data'!$F$32&gt;4,0.7)))))</f>
        <v>0.7</v>
      </c>
      <c r="J86" s="67" t="s">
        <v>2</v>
      </c>
      <c r="K86" s="73">
        <f>IF('Input Data'!$E$10="B",'Input Data'!$H$44,0)</f>
        <v>0</v>
      </c>
      <c r="L86" s="70" t="s">
        <v>24</v>
      </c>
      <c r="M86" s="66">
        <f>IF('Input Data'!$H$44&gt;0,IF('Input Data'!$D$34="N",$O$24,0),0)</f>
        <v>0</v>
      </c>
      <c r="N86" s="67" t="s">
        <v>200</v>
      </c>
      <c r="O86" s="692">
        <f>IF('Input Data'!$E$10="B",IF('Input Data'!$H$44&gt;0,IF('Input Data'!$D$34="N",(G86*I86*K86/K87*M86),0),0),0)</f>
        <v>0</v>
      </c>
    </row>
    <row r="87" spans="1:15" x14ac:dyDescent="0.25">
      <c r="A87" s="1949"/>
      <c r="B87" s="1923"/>
      <c r="C87" s="1923"/>
      <c r="D87" s="1923"/>
      <c r="E87" s="36"/>
      <c r="F87" s="36"/>
      <c r="G87" s="48"/>
      <c r="H87" s="49"/>
      <c r="I87" s="1296"/>
      <c r="J87" s="75"/>
      <c r="K87" s="66">
        <f>IF('Input Data'!$E$10="B",IF('Input Data'!$H$44&gt;0,'Input Data'!$H$47,0),0)</f>
        <v>0</v>
      </c>
      <c r="L87" s="76"/>
      <c r="M87" s="75"/>
      <c r="N87" s="75"/>
      <c r="O87" s="693"/>
    </row>
    <row r="88" spans="1:15" x14ac:dyDescent="0.25">
      <c r="A88" s="278"/>
      <c r="B88" s="33"/>
      <c r="C88" s="33"/>
      <c r="D88" s="33"/>
      <c r="E88" s="36"/>
      <c r="F88" s="36"/>
      <c r="G88" s="48"/>
      <c r="H88" s="49"/>
      <c r="I88" s="1295"/>
      <c r="J88" s="67"/>
      <c r="K88" s="77"/>
      <c r="L88" s="76"/>
      <c r="M88" s="77"/>
      <c r="N88" s="75"/>
      <c r="O88" s="693"/>
    </row>
    <row r="89" spans="1:15" ht="15" customHeight="1" thickBot="1" x14ac:dyDescent="0.3">
      <c r="A89" s="1855" t="s">
        <v>105</v>
      </c>
      <c r="B89" s="1856"/>
      <c r="C89" s="1856"/>
      <c r="D89" s="1856"/>
      <c r="E89" s="36"/>
      <c r="F89" s="284"/>
      <c r="G89" s="48">
        <f>IF('Input Data'!$H$45&gt;0,0.25,0)</f>
        <v>0</v>
      </c>
      <c r="H89" s="49" t="s">
        <v>24</v>
      </c>
      <c r="I89" s="1294">
        <f>IF('Input Data'!$F$32=1,0.05,IF('Input Data'!$F$32=2,Scales!$L$5,IF('Input Data'!$F$32=3,Scales!$L$6,IF('Input Data'!$F$32=4,Scales!$L$7,IF('Input Data'!$F$32&gt;4,0.7)))))</f>
        <v>0.7</v>
      </c>
      <c r="J89" s="67" t="s">
        <v>2</v>
      </c>
      <c r="K89" s="73">
        <f>IF('Input Data'!$E$10="B",'Input Data'!$H$45,0)</f>
        <v>0</v>
      </c>
      <c r="L89" s="76" t="s">
        <v>24</v>
      </c>
      <c r="M89" s="66">
        <f>IF('Input Data'!$H$45&gt;0,IF('Input Data'!$D$34="N",$O$24,0),0)</f>
        <v>0</v>
      </c>
      <c r="N89" s="67" t="s">
        <v>200</v>
      </c>
      <c r="O89" s="692">
        <f>IF('Input Data'!$E$10="B",IF('Input Data'!$H$45&gt;0,IF('Input Data'!$D$34="N",(G89*I89*K89/K90*M89),0),0),0)</f>
        <v>0</v>
      </c>
    </row>
    <row r="90" spans="1:15" x14ac:dyDescent="0.25">
      <c r="A90" s="1948"/>
      <c r="B90" s="1856"/>
      <c r="C90" s="1856"/>
      <c r="D90" s="1856"/>
      <c r="E90" s="36"/>
      <c r="F90" s="36"/>
      <c r="G90" s="48"/>
      <c r="H90" s="49"/>
      <c r="I90" s="1295"/>
      <c r="J90" s="67"/>
      <c r="K90" s="66">
        <f>IF('Input Data'!$E$10="B",IF('Input Data'!$H$45&gt;0,'Input Data'!$H$47,0),0)</f>
        <v>0</v>
      </c>
      <c r="L90" s="76"/>
      <c r="M90" s="77"/>
      <c r="N90" s="75"/>
      <c r="O90" s="693"/>
    </row>
    <row r="91" spans="1:15" x14ac:dyDescent="0.25">
      <c r="A91" s="34"/>
      <c r="B91" s="35"/>
      <c r="C91" s="36"/>
      <c r="D91" s="36"/>
      <c r="E91" s="36"/>
      <c r="F91" s="36"/>
      <c r="G91" s="48"/>
      <c r="H91" s="49"/>
      <c r="I91" s="1295"/>
      <c r="J91" s="67"/>
      <c r="K91" s="77"/>
      <c r="L91" s="76"/>
      <c r="M91" s="77"/>
      <c r="N91" s="75"/>
      <c r="O91" s="693"/>
    </row>
    <row r="92" spans="1:15" ht="15" customHeight="1" thickBot="1" x14ac:dyDescent="0.3">
      <c r="A92" s="1855" t="s">
        <v>141</v>
      </c>
      <c r="B92" s="1856"/>
      <c r="C92" s="1856"/>
      <c r="D92" s="1856"/>
      <c r="E92" s="48">
        <f>IF('Input Data'!$H$46&gt;0,0.25,0)</f>
        <v>0</v>
      </c>
      <c r="F92" s="43" t="s">
        <v>1</v>
      </c>
      <c r="G92" s="48">
        <f>IF('Input Data'!$H$46&gt;0,1.25,0)</f>
        <v>0</v>
      </c>
      <c r="H92" s="43" t="s">
        <v>1</v>
      </c>
      <c r="I92" s="1294">
        <f>IF('Input Data'!$F$32=1,0.05,IF('Input Data'!$F$32=2,Scales!$L$5,IF('Input Data'!$F$32=3,Scales!$L$6,IF('Input Data'!$F$32=4,Scales!$L$7,IF('Input Data'!$F$32&gt;4,0.7)))))</f>
        <v>0.7</v>
      </c>
      <c r="J92" s="67" t="s">
        <v>2</v>
      </c>
      <c r="K92" s="73">
        <f>IF('Input Data'!$E$10="B",'Input Data'!$H$46,0)</f>
        <v>0</v>
      </c>
      <c r="L92" s="43" t="s">
        <v>1</v>
      </c>
      <c r="M92" s="66">
        <f>IF('Input Data'!$H$46&gt;0,IF('Input Data'!$D$34="N",$O$24,0),0)</f>
        <v>0</v>
      </c>
      <c r="N92" s="260" t="s">
        <v>200</v>
      </c>
      <c r="O92" s="692">
        <f>IF('Input Data'!$E$10="B",IF('Input Data'!$H$46&gt;0,IF('Input Data'!$D$34="N",(E92*G92*I92*K92/K93*M92),0),0),0)</f>
        <v>0</v>
      </c>
    </row>
    <row r="93" spans="1:15" x14ac:dyDescent="0.25">
      <c r="A93" s="1857"/>
      <c r="B93" s="1858"/>
      <c r="C93" s="1858"/>
      <c r="D93" s="1858"/>
      <c r="E93" s="33"/>
      <c r="F93" s="33"/>
      <c r="G93" s="48"/>
      <c r="H93" s="49"/>
      <c r="I93" s="1295"/>
      <c r="J93" s="75"/>
      <c r="K93" s="66">
        <f>IF('Input Data'!$E$10="B",IF('Input Data'!$H$46&gt;0,'Input Data'!$H$47,0),0)</f>
        <v>0</v>
      </c>
      <c r="L93" s="76"/>
      <c r="M93" s="75"/>
      <c r="N93" s="75"/>
      <c r="O93" s="693"/>
    </row>
    <row r="94" spans="1:15" x14ac:dyDescent="0.25">
      <c r="A94" s="50"/>
      <c r="B94" s="56"/>
      <c r="C94" s="56"/>
      <c r="D94" s="56"/>
      <c r="E94" s="56"/>
      <c r="F94" s="56"/>
      <c r="G94" s="56"/>
      <c r="H94" s="56"/>
      <c r="I94" s="1301"/>
      <c r="J94" s="78"/>
      <c r="K94" s="79"/>
      <c r="L94" s="79"/>
      <c r="M94" s="79"/>
      <c r="N94" s="79"/>
      <c r="O94" s="695"/>
    </row>
    <row r="95" spans="1:15" ht="15.6" thickBot="1" x14ac:dyDescent="0.3">
      <c r="A95" s="38"/>
      <c r="B95" s="39"/>
      <c r="C95" s="39"/>
      <c r="D95" s="39"/>
      <c r="E95" s="39"/>
      <c r="F95" s="39"/>
      <c r="G95" s="40"/>
      <c r="H95" s="40"/>
      <c r="I95" s="41"/>
      <c r="J95" s="80"/>
      <c r="K95" s="81"/>
      <c r="L95" s="41"/>
      <c r="M95" s="293" t="s">
        <v>216</v>
      </c>
      <c r="N95" s="41"/>
      <c r="O95" s="731">
        <f>SUM(O83:O94)</f>
        <v>78776.25</v>
      </c>
    </row>
    <row r="96" spans="1:15" ht="18" thickTop="1" x14ac:dyDescent="0.25">
      <c r="A96" s="309" t="s">
        <v>618</v>
      </c>
      <c r="B96" s="35"/>
      <c r="C96" s="35"/>
      <c r="D96" s="35"/>
      <c r="E96" s="35"/>
      <c r="F96" s="35"/>
      <c r="G96" s="35"/>
      <c r="H96" s="35"/>
      <c r="I96" s="35"/>
      <c r="J96" s="35"/>
      <c r="K96" s="35"/>
      <c r="L96" s="35"/>
      <c r="M96" s="82"/>
      <c r="N96" s="35"/>
      <c r="O96" s="693"/>
    </row>
    <row r="97" spans="1:15" ht="15" customHeight="1" thickBot="1" x14ac:dyDescent="0.3">
      <c r="A97" s="1851" t="s">
        <v>251</v>
      </c>
      <c r="B97" s="1852"/>
      <c r="C97" s="1852"/>
      <c r="D97" s="1852"/>
      <c r="E97" s="43"/>
      <c r="F97" s="43"/>
      <c r="G97" s="36"/>
      <c r="H97" s="272"/>
      <c r="I97" s="1295">
        <f>IF('Input Data'!$F$32&lt;5,0,IF('Input Data'!$F$32=5,0.25,IF('Input Data'!$F$32=6,0.3)))</f>
        <v>0.25</v>
      </c>
      <c r="J97" s="65" t="s">
        <v>2</v>
      </c>
      <c r="K97" s="83">
        <f>IF('Input Data'!$E$10="B",IF('Input Data'!$F$32&gt;3,'Input Data'!$H$51,0),0)</f>
        <v>0</v>
      </c>
      <c r="L97" s="70" t="s">
        <v>24</v>
      </c>
      <c r="M97" s="68">
        <f>IF('Input Data'!$E$10="B",IF('Input Data'!$F$32&gt;3,IF('Input Data'!$H$51&gt;0,$O$24,0),0),0)</f>
        <v>0</v>
      </c>
      <c r="N97" s="260" t="s">
        <v>200</v>
      </c>
      <c r="O97" s="692">
        <f>IF($M$97&gt;0,(I97*K97/K98*M97),0)</f>
        <v>0</v>
      </c>
    </row>
    <row r="98" spans="1:15" x14ac:dyDescent="0.25">
      <c r="A98" s="1853"/>
      <c r="B98" s="1852"/>
      <c r="C98" s="1852"/>
      <c r="D98" s="1852"/>
      <c r="E98" s="45"/>
      <c r="F98" s="45"/>
      <c r="G98" s="36"/>
      <c r="H98" s="36"/>
      <c r="I98" s="1295"/>
      <c r="J98" s="47"/>
      <c r="K98" s="66">
        <f>IF($K$97&gt;0,IF('Input Data'!$F$32=4,'Input Data'!$H$47,IF('Input Data'!$F$32&gt;4,'Input Data'!$H$47,0)),0)</f>
        <v>0</v>
      </c>
      <c r="L98" s="70"/>
      <c r="M98" s="66"/>
      <c r="N98" s="66"/>
      <c r="O98" s="692"/>
    </row>
    <row r="99" spans="1:15" x14ac:dyDescent="0.25">
      <c r="A99" s="358"/>
      <c r="B99" s="61"/>
      <c r="C99" s="61"/>
      <c r="D99" s="61"/>
      <c r="E99" s="45"/>
      <c r="F99" s="45"/>
      <c r="G99" s="36"/>
      <c r="H99" s="36"/>
      <c r="I99" s="1295"/>
      <c r="J99" s="47"/>
      <c r="K99" s="66"/>
      <c r="L99" s="70"/>
      <c r="M99" s="66"/>
      <c r="N99" s="66"/>
      <c r="O99" s="692"/>
    </row>
    <row r="100" spans="1:15" ht="15" customHeight="1" thickBot="1" x14ac:dyDescent="0.3">
      <c r="A100" s="1854" t="s">
        <v>136</v>
      </c>
      <c r="B100" s="1872"/>
      <c r="C100" s="1852"/>
      <c r="D100" s="1852"/>
      <c r="E100" s="43"/>
      <c r="F100" s="271"/>
      <c r="G100" s="48">
        <f>IF('Input Data'!$H$52&gt;0,1.25,0)</f>
        <v>0</v>
      </c>
      <c r="H100" s="36" t="s">
        <v>24</v>
      </c>
      <c r="I100" s="1295">
        <f>IF('Input Data'!$F$32&lt;5,0,IF('Input Data'!$F$32=5,0.25,IF('Input Data'!$F$32=6,0.3)))</f>
        <v>0.25</v>
      </c>
      <c r="J100" s="65" t="s">
        <v>2</v>
      </c>
      <c r="K100" s="83">
        <f>IF('Input Data'!$F$32&gt;3,IF('Input Data'!$E$10="B",'Input Data'!$H$52,0),0)</f>
        <v>0</v>
      </c>
      <c r="L100" s="70" t="s">
        <v>24</v>
      </c>
      <c r="M100" s="68">
        <f>IF('Input Data'!$E$10="B",IF('Input Data'!$F$32&gt;3,IF('Input Data'!$H$52&gt;0,$O$24,0),0),0)</f>
        <v>0</v>
      </c>
      <c r="N100" s="260" t="s">
        <v>200</v>
      </c>
      <c r="O100" s="692">
        <f>IF($M$100&gt;0,(G100*I100*K100/K101*M100),0)</f>
        <v>0</v>
      </c>
    </row>
    <row r="101" spans="1:15" x14ac:dyDescent="0.25">
      <c r="A101" s="1853"/>
      <c r="B101" s="1852"/>
      <c r="C101" s="1852"/>
      <c r="D101" s="1852"/>
      <c r="E101" s="49"/>
      <c r="F101" s="49"/>
      <c r="G101" s="36"/>
      <c r="H101" s="36"/>
      <c r="I101" s="37"/>
      <c r="J101" s="35"/>
      <c r="K101" s="66">
        <f>IF($K$100&gt;0,IF('Input Data'!$F$32=4,'Input Data'!$H$47,IF('Input Data'!$F$32&gt;4,'Input Data'!$H$47,0)),0)</f>
        <v>0</v>
      </c>
      <c r="L101" s="76"/>
      <c r="M101" s="75"/>
      <c r="N101" s="75"/>
      <c r="O101" s="693"/>
    </row>
    <row r="102" spans="1:15" x14ac:dyDescent="0.25">
      <c r="A102" s="298"/>
      <c r="B102" s="56"/>
      <c r="C102" s="51"/>
      <c r="D102" s="51"/>
      <c r="E102" s="51"/>
      <c r="F102" s="51"/>
      <c r="G102" s="51"/>
      <c r="H102" s="51"/>
      <c r="I102" s="52"/>
      <c r="J102" s="299"/>
      <c r="K102" s="52"/>
      <c r="L102" s="300"/>
      <c r="M102" s="265"/>
      <c r="N102" s="301"/>
      <c r="O102" s="693"/>
    </row>
    <row r="103" spans="1:15" ht="25.5" customHeight="1" thickBot="1" x14ac:dyDescent="0.3">
      <c r="A103" s="252"/>
      <c r="B103" s="253"/>
      <c r="C103" s="253"/>
      <c r="D103" s="302"/>
      <c r="E103" s="302"/>
      <c r="F103" s="302"/>
      <c r="G103" s="303"/>
      <c r="H103" s="304"/>
      <c r="I103" s="330"/>
      <c r="J103" s="305"/>
      <c r="K103" s="306"/>
      <c r="L103" s="306"/>
      <c r="M103" s="343" t="s">
        <v>217</v>
      </c>
      <c r="N103" s="306"/>
      <c r="O103" s="731">
        <f>SUM(O97:O101)</f>
        <v>0</v>
      </c>
    </row>
    <row r="104" spans="1:15" ht="26.25" customHeight="1" thickTop="1" thickBot="1" x14ac:dyDescent="0.3">
      <c r="A104" s="446"/>
      <c r="B104" s="39"/>
      <c r="C104" s="39"/>
      <c r="D104" s="39"/>
      <c r="E104" s="39"/>
      <c r="F104" s="39"/>
      <c r="G104" s="39"/>
      <c r="H104" s="39"/>
      <c r="I104" s="357"/>
      <c r="J104" s="39"/>
      <c r="K104" s="39"/>
      <c r="L104" s="39"/>
      <c r="M104" s="629" t="s">
        <v>21</v>
      </c>
      <c r="N104" s="39"/>
      <c r="O104" s="696">
        <f>O95+O103</f>
        <v>78776.25</v>
      </c>
    </row>
    <row r="105" spans="1:15" ht="15.6" thickTop="1" x14ac:dyDescent="0.25">
      <c r="A105" s="311"/>
      <c r="B105" s="112"/>
      <c r="C105" s="112"/>
      <c r="D105" s="112"/>
      <c r="E105" s="112"/>
    </row>
  </sheetData>
  <sheetProtection algorithmName="SHA-512" hashValue="Pr86O49ox5MAyhz7BvAF4bVepD6IEF/xEC4Za11VPMi4/43z6Vf9sYHCvfqimLKXmhC3zWJtSlD5MPX+jjKEAw==" saltValue="0soivUjtaL6WvHm7cqL3PA==" spinCount="100000" sheet="1" objects="1" scenarios="1" formatCells="0" formatColumns="0" formatRows="0"/>
  <mergeCells count="68">
    <mergeCell ref="D2:J2"/>
    <mergeCell ref="D18:G18"/>
    <mergeCell ref="D16:G16"/>
    <mergeCell ref="D17:G17"/>
    <mergeCell ref="I9:M9"/>
    <mergeCell ref="L11:O11"/>
    <mergeCell ref="B7:G7"/>
    <mergeCell ref="B8:D8"/>
    <mergeCell ref="N17:O17"/>
    <mergeCell ref="H18:I18"/>
    <mergeCell ref="N18:O18"/>
    <mergeCell ref="B10:C10"/>
    <mergeCell ref="H17:I17"/>
    <mergeCell ref="E8:G8"/>
    <mergeCell ref="B14:M14"/>
    <mergeCell ref="E11:G11"/>
    <mergeCell ref="A89:D90"/>
    <mergeCell ref="A92:D93"/>
    <mergeCell ref="A97:D98"/>
    <mergeCell ref="A100:D101"/>
    <mergeCell ref="A86:D87"/>
    <mergeCell ref="I75:J75"/>
    <mergeCell ref="A83:E84"/>
    <mergeCell ref="C76:D76"/>
    <mergeCell ref="E76:G76"/>
    <mergeCell ref="I76:J76"/>
    <mergeCell ref="C75:D75"/>
    <mergeCell ref="E75:G75"/>
    <mergeCell ref="C78:D78"/>
    <mergeCell ref="E78:G78"/>
    <mergeCell ref="I78:J78"/>
    <mergeCell ref="N79:O79"/>
    <mergeCell ref="C79:D79"/>
    <mergeCell ref="E79:G79"/>
    <mergeCell ref="I79:J79"/>
    <mergeCell ref="N78:O78"/>
    <mergeCell ref="H19:I19"/>
    <mergeCell ref="N19:O19"/>
    <mergeCell ref="E77:G77"/>
    <mergeCell ref="I77:J77"/>
    <mergeCell ref="K53:M53"/>
    <mergeCell ref="I56:N56"/>
    <mergeCell ref="I59:N59"/>
    <mergeCell ref="H20:I20"/>
    <mergeCell ref="L20:O20"/>
    <mergeCell ref="J21:N21"/>
    <mergeCell ref="B21:H21"/>
    <mergeCell ref="D20:G20"/>
    <mergeCell ref="A22:B22"/>
    <mergeCell ref="J22:N22"/>
    <mergeCell ref="N75:O75"/>
    <mergeCell ref="C77:D77"/>
    <mergeCell ref="N76:O76"/>
    <mergeCell ref="N77:O77"/>
    <mergeCell ref="K2:O2"/>
    <mergeCell ref="B71:O72"/>
    <mergeCell ref="N13:O13"/>
    <mergeCell ref="B15:M15"/>
    <mergeCell ref="H8:K8"/>
    <mergeCell ref="N4:O4"/>
    <mergeCell ref="B6:M6"/>
    <mergeCell ref="M5:O5"/>
    <mergeCell ref="F5:G5"/>
    <mergeCell ref="B11:C11"/>
    <mergeCell ref="I11:J11"/>
    <mergeCell ref="B9:G9"/>
    <mergeCell ref="B13:L13"/>
    <mergeCell ref="I10:K10"/>
  </mergeCells>
  <phoneticPr fontId="54" type="noConversion"/>
  <conditionalFormatting sqref="H79:I79 E79 B79:C79 K79 N79">
    <cfRule type="expression" dxfId="2" priority="1" stopIfTrue="1">
      <formula>B79&lt;B78</formula>
    </cfRule>
  </conditionalFormatting>
  <conditionalFormatting sqref="L79">
    <cfRule type="expression" dxfId="1" priority="5" stopIfTrue="1">
      <formula>L79&lt;M78</formula>
    </cfRule>
  </conditionalFormatting>
  <conditionalFormatting sqref="O79">
    <cfRule type="expression" dxfId="0" priority="6" stopIfTrue="1">
      <formula>O79&lt;#REF!</formula>
    </cfRule>
  </conditionalFormatting>
  <pageMargins left="0.75" right="0.75" top="1" bottom="1" header="0.5" footer="0.5"/>
  <pageSetup paperSize="9" scale="52" orientation="portrait" horizontalDpi="4294967293" r:id="rId1"/>
  <headerFooter alignWithMargins="0"/>
  <rowBreaks count="1" manualBreakCount="1">
    <brk id="79"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5"/>
  <sheetViews>
    <sheetView zoomScale="75" workbookViewId="0">
      <selection activeCell="H16" sqref="H16"/>
    </sheetView>
  </sheetViews>
  <sheetFormatPr defaultRowHeight="15" x14ac:dyDescent="0.25"/>
  <cols>
    <col min="1" max="1" width="4.58203125" customWidth="1"/>
    <col min="2" max="2" width="14.33203125" customWidth="1"/>
    <col min="3" max="3" width="14" customWidth="1"/>
    <col min="4" max="4" width="14.25" customWidth="1"/>
    <col min="5" max="5" width="8.75" customWidth="1"/>
    <col min="6" max="6" width="3" customWidth="1"/>
    <col min="8" max="8" width="30.9140625" customWidth="1"/>
    <col min="10" max="10" width="2.6640625" customWidth="1"/>
  </cols>
  <sheetData>
    <row r="1" spans="2:12" ht="17.399999999999999" x14ac:dyDescent="0.3">
      <c r="B1" s="761" t="s">
        <v>647</v>
      </c>
    </row>
    <row r="2" spans="2:12" ht="16.2" thickBot="1" x14ac:dyDescent="0.35">
      <c r="B2" s="6" t="s">
        <v>602</v>
      </c>
      <c r="C2" s="5" t="s">
        <v>100</v>
      </c>
      <c r="G2" s="676" t="s">
        <v>316</v>
      </c>
      <c r="H2" s="677"/>
      <c r="I2" s="677"/>
      <c r="J2" s="677"/>
      <c r="K2" s="677"/>
      <c r="L2" s="677"/>
    </row>
    <row r="3" spans="2:12" ht="26.4" x14ac:dyDescent="0.25">
      <c r="B3" s="1252">
        <v>0</v>
      </c>
      <c r="C3" s="1253">
        <v>965000</v>
      </c>
      <c r="D3" s="1254">
        <v>0</v>
      </c>
      <c r="E3" s="765">
        <v>0.125</v>
      </c>
      <c r="G3" s="1260" t="s">
        <v>317</v>
      </c>
      <c r="H3" s="1261" t="s">
        <v>318</v>
      </c>
      <c r="I3" s="1262" t="s">
        <v>319</v>
      </c>
      <c r="J3" s="1263"/>
      <c r="K3" s="1264" t="s">
        <v>320</v>
      </c>
      <c r="L3" s="1265" t="s">
        <v>321</v>
      </c>
    </row>
    <row r="4" spans="2:12" x14ac:dyDescent="0.25">
      <c r="B4" s="1255">
        <v>965000</v>
      </c>
      <c r="C4" s="1256">
        <v>2291000</v>
      </c>
      <c r="D4" s="1256">
        <v>120800</v>
      </c>
      <c r="E4" s="1249">
        <v>0.125</v>
      </c>
      <c r="G4" s="678" t="s">
        <v>322</v>
      </c>
      <c r="H4" s="1266" t="s">
        <v>323</v>
      </c>
      <c r="I4" s="679">
        <v>0.05</v>
      </c>
      <c r="J4" s="1322" t="s">
        <v>24</v>
      </c>
      <c r="K4" s="680">
        <v>1</v>
      </c>
      <c r="L4" s="681">
        <v>0.05</v>
      </c>
    </row>
    <row r="5" spans="2:12" x14ac:dyDescent="0.25">
      <c r="B5" s="1255">
        <v>2291000</v>
      </c>
      <c r="C5" s="1256">
        <v>11279000</v>
      </c>
      <c r="D5" s="1256">
        <v>286400</v>
      </c>
      <c r="E5" s="1249">
        <v>0.1</v>
      </c>
      <c r="G5" s="678" t="s">
        <v>324</v>
      </c>
      <c r="H5" s="1266" t="s">
        <v>325</v>
      </c>
      <c r="I5" s="679">
        <f>IF('Input Data'!$F$32&lt;2,0,20%)</f>
        <v>0.2</v>
      </c>
      <c r="J5" s="1322" t="s">
        <v>24</v>
      </c>
      <c r="K5" s="680">
        <f>IF('Input Data'!$F$32=2,'Input Data'!$D$33,1)</f>
        <v>1</v>
      </c>
      <c r="L5" s="681">
        <f>I5*K5+L4</f>
        <v>0.25</v>
      </c>
    </row>
    <row r="6" spans="2:12" x14ac:dyDescent="0.25">
      <c r="B6" s="1255">
        <v>11279000</v>
      </c>
      <c r="C6" s="1256">
        <v>23008000</v>
      </c>
      <c r="D6" s="1256">
        <v>1185200</v>
      </c>
      <c r="E6" s="1249">
        <v>0.08</v>
      </c>
      <c r="G6" s="1302" t="s">
        <v>326</v>
      </c>
      <c r="H6" s="1303" t="s">
        <v>612</v>
      </c>
      <c r="I6" s="1304">
        <f>IF('Input Data'!$F$32&lt;3,0,30%)</f>
        <v>0.3</v>
      </c>
      <c r="J6" s="1323" t="s">
        <v>24</v>
      </c>
      <c r="K6" s="1305">
        <f>IF('Input Data'!$F$32=3,'Input Data'!$D$33,1)</f>
        <v>1</v>
      </c>
      <c r="L6" s="1306">
        <f>I6*K6+L5</f>
        <v>0.55000000000000004</v>
      </c>
    </row>
    <row r="7" spans="2:12" ht="15.6" thickBot="1" x14ac:dyDescent="0.3">
      <c r="B7" s="1255">
        <v>23008000</v>
      </c>
      <c r="C7" s="1256">
        <v>57292000</v>
      </c>
      <c r="D7" s="1256">
        <v>2123400</v>
      </c>
      <c r="E7" s="1249">
        <v>7.0000000000000007E-2</v>
      </c>
      <c r="G7" s="1307" t="s">
        <v>616</v>
      </c>
      <c r="H7" s="1308" t="s">
        <v>611</v>
      </c>
      <c r="I7" s="1309">
        <f>IF('Input Data'!$F$32&lt;4,0,15%)</f>
        <v>0.15</v>
      </c>
      <c r="J7" s="1324" t="s">
        <v>24</v>
      </c>
      <c r="K7" s="1310">
        <f>IF('Input Data'!$F$32=4,'Input Data'!$D$33,1)</f>
        <v>1</v>
      </c>
      <c r="L7" s="1311">
        <f>I7*K7+L6</f>
        <v>0.70000000000000007</v>
      </c>
    </row>
    <row r="8" spans="2:12" x14ac:dyDescent="0.25">
      <c r="B8" s="1255">
        <v>57292000</v>
      </c>
      <c r="C8" s="1256">
        <v>114585000</v>
      </c>
      <c r="D8" s="1256">
        <v>4523400</v>
      </c>
      <c r="E8" s="1249">
        <v>0.06</v>
      </c>
      <c r="G8" s="1312" t="s">
        <v>625</v>
      </c>
      <c r="H8" s="1313" t="s">
        <v>327</v>
      </c>
      <c r="I8" s="1321">
        <f>IF('Input Data'!$F$32&lt;5,0,15%)</f>
        <v>0.15</v>
      </c>
      <c r="J8" s="1325" t="s">
        <v>24</v>
      </c>
      <c r="K8" s="1314">
        <f>IF('Input Data'!$F$32=5,'Input Data'!$D$33,1)</f>
        <v>1</v>
      </c>
      <c r="L8" s="1315">
        <f t="shared" ref="L8:L9" si="0">I8*K8+L7</f>
        <v>0.85000000000000009</v>
      </c>
    </row>
    <row r="9" spans="2:12" ht="15.6" thickBot="1" x14ac:dyDescent="0.3">
      <c r="B9" s="1255">
        <v>114585000</v>
      </c>
      <c r="C9" s="1256">
        <v>690192000</v>
      </c>
      <c r="D9" s="1256">
        <v>7960900</v>
      </c>
      <c r="E9" s="1249">
        <v>5.5E-2</v>
      </c>
      <c r="G9" s="1316" t="s">
        <v>626</v>
      </c>
      <c r="H9" s="1317" t="s">
        <v>328</v>
      </c>
      <c r="I9" s="1320">
        <f>IF('Input Data'!$F$32&lt;6,0,15%)</f>
        <v>0</v>
      </c>
      <c r="J9" s="1326" t="s">
        <v>24</v>
      </c>
      <c r="K9" s="1318">
        <f>IF('Input Data'!$F$32=64,'Input Data'!$D$33,1)</f>
        <v>1</v>
      </c>
      <c r="L9" s="1319">
        <f t="shared" si="0"/>
        <v>0.85000000000000009</v>
      </c>
    </row>
    <row r="10" spans="2:12" ht="15.75" customHeight="1" thickBot="1" x14ac:dyDescent="0.3">
      <c r="B10" s="1257">
        <v>690192000</v>
      </c>
      <c r="C10" s="1258">
        <v>1000000000</v>
      </c>
      <c r="D10" s="1258">
        <v>39619800</v>
      </c>
      <c r="E10" s="1250">
        <v>5.5E-2</v>
      </c>
      <c r="G10" s="1268"/>
      <c r="H10" s="1267"/>
      <c r="I10" s="682"/>
      <c r="J10" s="1268"/>
      <c r="K10" s="1268"/>
      <c r="L10" s="1268"/>
    </row>
    <row r="11" spans="2:12" ht="16.5" customHeight="1" x14ac:dyDescent="0.25">
      <c r="G11" s="1268"/>
      <c r="H11" s="1266" t="s">
        <v>323</v>
      </c>
      <c r="I11" s="1269">
        <v>5</v>
      </c>
      <c r="J11" s="1268"/>
      <c r="K11" s="1268"/>
      <c r="L11" s="1268"/>
    </row>
    <row r="12" spans="2:12" ht="15.75" customHeight="1" thickBot="1" x14ac:dyDescent="0.35">
      <c r="B12" s="6" t="s">
        <v>603</v>
      </c>
      <c r="C12" s="274" t="s">
        <v>337</v>
      </c>
      <c r="D12" s="273"/>
      <c r="E12" s="273"/>
      <c r="G12" s="1268"/>
      <c r="H12" s="1266" t="s">
        <v>325</v>
      </c>
      <c r="I12" s="1269">
        <v>20</v>
      </c>
      <c r="J12" s="1268"/>
      <c r="K12" s="1268"/>
      <c r="L12" s="1268"/>
    </row>
    <row r="13" spans="2:12" x14ac:dyDescent="0.25">
      <c r="B13" s="1252">
        <v>0</v>
      </c>
      <c r="C13" s="1253">
        <v>965000</v>
      </c>
      <c r="D13" s="1259">
        <v>0</v>
      </c>
      <c r="E13" s="765">
        <v>0.15</v>
      </c>
      <c r="G13" s="1268"/>
      <c r="H13" s="1266" t="s">
        <v>610</v>
      </c>
      <c r="I13" s="1269">
        <v>30</v>
      </c>
      <c r="J13" s="1268"/>
      <c r="K13" s="1268"/>
      <c r="L13" s="1268"/>
    </row>
    <row r="14" spans="2:12" x14ac:dyDescent="0.25">
      <c r="B14" s="1255">
        <v>965000</v>
      </c>
      <c r="C14" s="1256">
        <v>2291000</v>
      </c>
      <c r="D14" s="1256">
        <v>144800</v>
      </c>
      <c r="E14" s="1249">
        <v>0.15</v>
      </c>
      <c r="G14" s="1268"/>
      <c r="H14" s="1266" t="s">
        <v>611</v>
      </c>
      <c r="I14" s="1269">
        <v>15</v>
      </c>
      <c r="J14" s="1268"/>
      <c r="K14" s="1268"/>
      <c r="L14" s="1268"/>
    </row>
    <row r="15" spans="2:12" x14ac:dyDescent="0.25">
      <c r="B15" s="1255">
        <v>2291000</v>
      </c>
      <c r="C15" s="1256">
        <v>11279000</v>
      </c>
      <c r="D15" s="1256">
        <v>343800</v>
      </c>
      <c r="E15" s="1249">
        <v>0.125</v>
      </c>
      <c r="G15" s="1268"/>
      <c r="H15" s="1270" t="s">
        <v>327</v>
      </c>
      <c r="I15" s="1271">
        <v>25</v>
      </c>
      <c r="J15" s="1268"/>
      <c r="K15" s="1268"/>
      <c r="L15" s="1268"/>
    </row>
    <row r="16" spans="2:12" x14ac:dyDescent="0.25">
      <c r="B16" s="1255">
        <v>11279000</v>
      </c>
      <c r="C16" s="1256">
        <v>23008000</v>
      </c>
      <c r="D16" s="1256">
        <v>1467100</v>
      </c>
      <c r="E16" s="1249">
        <v>0.105</v>
      </c>
      <c r="G16" s="1268"/>
      <c r="H16" s="1272" t="s">
        <v>328</v>
      </c>
      <c r="I16" s="1271">
        <v>5</v>
      </c>
      <c r="J16" s="1277"/>
      <c r="K16" s="1277"/>
      <c r="L16" s="1277"/>
    </row>
    <row r="17" spans="2:12" x14ac:dyDescent="0.25">
      <c r="B17" s="1255">
        <v>23008000</v>
      </c>
      <c r="C17" s="1256">
        <v>57292000</v>
      </c>
      <c r="D17" s="1256">
        <v>2698600</v>
      </c>
      <c r="E17" s="1249">
        <v>9.5000000000000001E-2</v>
      </c>
      <c r="G17" s="1268"/>
      <c r="H17" s="1268"/>
      <c r="I17" s="1268"/>
      <c r="J17" s="1277"/>
      <c r="K17" s="1277"/>
      <c r="L17" s="1277"/>
    </row>
    <row r="18" spans="2:12" x14ac:dyDescent="0.25">
      <c r="B18" s="1255">
        <v>57292000</v>
      </c>
      <c r="C18" s="1256">
        <v>114585000</v>
      </c>
      <c r="D18" s="1256">
        <v>5956200</v>
      </c>
      <c r="E18" s="1249">
        <v>0.09</v>
      </c>
      <c r="G18" s="1268"/>
      <c r="H18" s="1277"/>
      <c r="I18" s="1277"/>
      <c r="J18" s="1277"/>
      <c r="K18" s="1277"/>
      <c r="L18" s="1277"/>
    </row>
    <row r="19" spans="2:12" x14ac:dyDescent="0.25">
      <c r="B19" s="1255">
        <v>114585000</v>
      </c>
      <c r="C19" s="1256">
        <v>690192000</v>
      </c>
      <c r="D19" s="1256">
        <v>11111900</v>
      </c>
      <c r="E19" s="1249">
        <v>8.5000000000000006E-2</v>
      </c>
      <c r="G19" s="1268"/>
      <c r="H19" s="1279" t="s">
        <v>604</v>
      </c>
      <c r="I19" s="1280">
        <v>0.05</v>
      </c>
      <c r="J19" s="1277"/>
      <c r="K19" s="1277"/>
      <c r="L19" s="1277"/>
    </row>
    <row r="20" spans="2:12" ht="15.6" thickBot="1" x14ac:dyDescent="0.3">
      <c r="B20" s="1257">
        <v>690192000</v>
      </c>
      <c r="C20" s="1258">
        <v>1000000000</v>
      </c>
      <c r="D20" s="1258">
        <v>60039000</v>
      </c>
      <c r="E20" s="1250">
        <v>8.5000000000000006E-2</v>
      </c>
      <c r="G20" s="1268"/>
      <c r="H20" s="1279" t="s">
        <v>605</v>
      </c>
      <c r="I20" s="1280">
        <v>0.2</v>
      </c>
      <c r="J20" s="1277"/>
      <c r="K20" s="1277"/>
      <c r="L20" s="1277"/>
    </row>
    <row r="21" spans="2:12" x14ac:dyDescent="0.25">
      <c r="G21" s="1268"/>
      <c r="H21" s="1279" t="s">
        <v>606</v>
      </c>
      <c r="I21" s="1280">
        <v>0.3</v>
      </c>
      <c r="J21" s="1277"/>
      <c r="K21" s="1277"/>
      <c r="L21" s="1277"/>
    </row>
    <row r="22" spans="2:12" x14ac:dyDescent="0.25">
      <c r="H22" s="1279" t="s">
        <v>607</v>
      </c>
      <c r="I22" s="1280">
        <v>0.15</v>
      </c>
      <c r="J22" s="1278"/>
      <c r="K22" s="1278"/>
      <c r="L22" s="1278"/>
    </row>
    <row r="23" spans="2:12" x14ac:dyDescent="0.25">
      <c r="H23" s="1279" t="s">
        <v>608</v>
      </c>
      <c r="I23" s="1280">
        <v>0.25</v>
      </c>
      <c r="J23" s="1278"/>
      <c r="K23" s="1278"/>
      <c r="L23" s="1278"/>
    </row>
    <row r="24" spans="2:12" x14ac:dyDescent="0.25">
      <c r="H24" s="1279" t="s">
        <v>609</v>
      </c>
      <c r="I24" s="1280">
        <v>0.05</v>
      </c>
    </row>
    <row r="25" spans="2:12" x14ac:dyDescent="0.25">
      <c r="H25" s="1281"/>
      <c r="I25" s="1282">
        <v>1</v>
      </c>
    </row>
  </sheetData>
  <sheetProtection algorithmName="SHA-512" hashValue="MHidCvlKl42YcQjgFrSTN3YCP+v6O503sgzFjLDeOa7TsB2dU8dw3Ks3FIAmQPB1khargrs5oLMKNtgUmB1VZQ==" saltValue="83bkqeEq8MlLd1JOpnvIlQ==" spinCount="100000" sheet="1" objects="1" scenarios="1" formatCells="0" formatColumns="0" formatRows="0"/>
  <phoneticPr fontId="5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O43"/>
  <sheetViews>
    <sheetView zoomScale="75" workbookViewId="0">
      <selection activeCell="O1" sqref="O1"/>
    </sheetView>
  </sheetViews>
  <sheetFormatPr defaultRowHeight="15" x14ac:dyDescent="0.25"/>
  <cols>
    <col min="1" max="1" width="9.25" customWidth="1"/>
    <col min="2" max="2" width="10.4140625" customWidth="1"/>
    <col min="3" max="3" width="6" customWidth="1"/>
    <col min="4" max="4" width="13.58203125" customWidth="1"/>
    <col min="5" max="5" width="11.6640625" customWidth="1"/>
    <col min="6" max="6" width="10" customWidth="1"/>
    <col min="7" max="7" width="12.75" customWidth="1"/>
    <col min="8" max="8" width="3.25" customWidth="1"/>
    <col min="9" max="9" width="9.4140625" customWidth="1"/>
    <col min="10" max="10" width="10.4140625" customWidth="1"/>
    <col min="11" max="11" width="6.33203125" customWidth="1"/>
    <col min="12" max="12" width="13.6640625" customWidth="1"/>
    <col min="13" max="13" width="11.33203125" customWidth="1"/>
    <col min="14" max="14" width="10.25" customWidth="1"/>
    <col min="15" max="15" width="13.25" customWidth="1"/>
  </cols>
  <sheetData>
    <row r="1" spans="1:15" ht="21.6" thickTop="1" x14ac:dyDescent="0.25">
      <c r="A1" s="1129" t="s">
        <v>600</v>
      </c>
      <c r="B1" s="231"/>
      <c r="C1" s="231"/>
      <c r="D1" s="214"/>
      <c r="E1" s="214"/>
      <c r="F1" s="215" t="s">
        <v>158</v>
      </c>
      <c r="G1" s="214"/>
      <c r="H1" s="214"/>
      <c r="I1" s="214"/>
      <c r="J1" s="214"/>
      <c r="K1" s="214"/>
      <c r="L1" s="214"/>
      <c r="M1" s="1335" t="s">
        <v>635</v>
      </c>
      <c r="N1" s="1336" t="s">
        <v>636</v>
      </c>
      <c r="O1" s="1337">
        <f>IF('Input Data'!D28&lt;43191,14%,15%)</f>
        <v>0.14000000000000001</v>
      </c>
    </row>
    <row r="2" spans="1:15" x14ac:dyDescent="0.25">
      <c r="A2" s="1960" t="s">
        <v>152</v>
      </c>
      <c r="B2" s="1961"/>
      <c r="C2" s="1961"/>
      <c r="D2" s="1961"/>
      <c r="E2" s="1130">
        <f>'Input Data'!D29</f>
        <v>0</v>
      </c>
      <c r="F2" s="216" t="s">
        <v>206</v>
      </c>
      <c r="G2" s="1131">
        <f>'Input Data'!D7</f>
        <v>0</v>
      </c>
      <c r="H2" s="184"/>
      <c r="I2" s="1961" t="s">
        <v>94</v>
      </c>
      <c r="J2" s="1961"/>
      <c r="K2" s="1961"/>
      <c r="L2" s="1962"/>
      <c r="M2" s="128" t="str">
        <f>IF('Input Data'!D18="none","N","Y")</f>
        <v>Y</v>
      </c>
      <c r="N2" s="60"/>
      <c r="O2" s="27"/>
    </row>
    <row r="3" spans="1:15" ht="15.6" thickBot="1" x14ac:dyDescent="0.3">
      <c r="A3" s="217"/>
      <c r="B3" s="218"/>
      <c r="C3" s="218"/>
      <c r="D3" s="60"/>
      <c r="E3" s="60"/>
      <c r="F3" s="60"/>
      <c r="G3" s="60"/>
      <c r="H3" s="60"/>
      <c r="I3" s="218"/>
      <c r="J3" s="218"/>
      <c r="K3" s="218"/>
      <c r="L3" s="219"/>
      <c r="M3" s="60"/>
      <c r="N3" s="60"/>
      <c r="O3" s="220"/>
    </row>
    <row r="4" spans="1:15" ht="54" thickTop="1" thickBot="1" x14ac:dyDescent="0.3">
      <c r="A4" s="221" t="s">
        <v>601</v>
      </c>
      <c r="B4" s="232" t="s">
        <v>8</v>
      </c>
      <c r="C4" s="232" t="s">
        <v>637</v>
      </c>
      <c r="D4" s="598" t="s">
        <v>302</v>
      </c>
      <c r="E4" s="598" t="s">
        <v>303</v>
      </c>
      <c r="F4" s="222" t="s">
        <v>304</v>
      </c>
      <c r="G4" s="599" t="s">
        <v>305</v>
      </c>
      <c r="H4" s="36"/>
      <c r="I4" s="221" t="s">
        <v>601</v>
      </c>
      <c r="J4" s="232" t="s">
        <v>8</v>
      </c>
      <c r="K4" s="232" t="s">
        <v>637</v>
      </c>
      <c r="L4" s="598" t="s">
        <v>302</v>
      </c>
      <c r="M4" s="598" t="s">
        <v>303</v>
      </c>
      <c r="N4" s="222" t="s">
        <v>304</v>
      </c>
      <c r="O4" s="599" t="s">
        <v>305</v>
      </c>
    </row>
    <row r="5" spans="1:15" ht="27.6" thickTop="1" thickBot="1" x14ac:dyDescent="0.3">
      <c r="A5" s="223" t="s">
        <v>153</v>
      </c>
      <c r="B5" s="235"/>
      <c r="C5" s="1338">
        <f t="shared" ref="C5:C41" si="0">IF(B5&lt;43191,1.14,1.15)</f>
        <v>1.1399999999999999</v>
      </c>
      <c r="D5" s="630"/>
      <c r="E5" s="1339">
        <f t="shared" ref="E5:E41" si="1">IF($M$2="Y",((D5-F5)/(C5)),D5)</f>
        <v>0</v>
      </c>
      <c r="F5" s="630"/>
      <c r="G5" s="631">
        <f>SUM(E5:F5)</f>
        <v>0</v>
      </c>
      <c r="H5" s="62"/>
      <c r="I5" s="224" t="s">
        <v>154</v>
      </c>
      <c r="J5" s="234"/>
      <c r="K5" s="234"/>
      <c r="L5" s="636">
        <f>D42</f>
        <v>0</v>
      </c>
      <c r="M5" s="637">
        <f>E42</f>
        <v>0</v>
      </c>
      <c r="N5" s="636">
        <f>F42</f>
        <v>0</v>
      </c>
      <c r="O5" s="638">
        <f>SUM(M5:N5)</f>
        <v>0</v>
      </c>
    </row>
    <row r="6" spans="1:15" x14ac:dyDescent="0.25">
      <c r="A6" s="225">
        <f t="shared" ref="A6:A41" si="2">A5+1</f>
        <v>2</v>
      </c>
      <c r="B6" s="236"/>
      <c r="C6" s="1338">
        <f t="shared" si="0"/>
        <v>1.1399999999999999</v>
      </c>
      <c r="D6" s="630"/>
      <c r="E6" s="1339">
        <f t="shared" si="1"/>
        <v>0</v>
      </c>
      <c r="F6" s="630">
        <v>0</v>
      </c>
      <c r="G6" s="631">
        <f t="shared" ref="G6:G41" si="3">SUM(E6:F6)</f>
        <v>0</v>
      </c>
      <c r="H6" s="62"/>
      <c r="I6" s="226" t="s">
        <v>155</v>
      </c>
      <c r="J6" s="235"/>
      <c r="K6" s="1338">
        <f t="shared" ref="K6:K41" si="4">IF(J6&lt;43191,1.14,1.15)</f>
        <v>1.1399999999999999</v>
      </c>
      <c r="L6" s="634"/>
      <c r="M6" s="1339">
        <f t="shared" ref="M6:M41" si="5">IF($M$2="Y",((L6-N6)/(K6)),L6)</f>
        <v>0</v>
      </c>
      <c r="N6" s="634">
        <v>0</v>
      </c>
      <c r="O6" s="635">
        <f t="shared" ref="O6:O41" si="6">SUM(M6:N6)</f>
        <v>0</v>
      </c>
    </row>
    <row r="7" spans="1:15" x14ac:dyDescent="0.25">
      <c r="A7" s="225">
        <f t="shared" si="2"/>
        <v>3</v>
      </c>
      <c r="B7" s="236"/>
      <c r="C7" s="1338">
        <f t="shared" si="0"/>
        <v>1.1399999999999999</v>
      </c>
      <c r="D7" s="630">
        <v>0</v>
      </c>
      <c r="E7" s="1339">
        <f t="shared" si="1"/>
        <v>0</v>
      </c>
      <c r="F7" s="630">
        <v>0</v>
      </c>
      <c r="G7" s="631">
        <f t="shared" si="3"/>
        <v>0</v>
      </c>
      <c r="H7" s="62"/>
      <c r="I7" s="225">
        <f t="shared" ref="I7:I41" si="7">I6+1</f>
        <v>39</v>
      </c>
      <c r="J7" s="236"/>
      <c r="K7" s="1338">
        <f t="shared" si="4"/>
        <v>1.1399999999999999</v>
      </c>
      <c r="L7" s="630"/>
      <c r="M7" s="1339">
        <f t="shared" si="5"/>
        <v>0</v>
      </c>
      <c r="N7" s="630">
        <v>0</v>
      </c>
      <c r="O7" s="631">
        <f t="shared" si="6"/>
        <v>0</v>
      </c>
    </row>
    <row r="8" spans="1:15" x14ac:dyDescent="0.25">
      <c r="A8" s="225">
        <f t="shared" si="2"/>
        <v>4</v>
      </c>
      <c r="B8" s="236"/>
      <c r="C8" s="1338">
        <f t="shared" si="0"/>
        <v>1.1399999999999999</v>
      </c>
      <c r="D8" s="630">
        <v>0</v>
      </c>
      <c r="E8" s="1339">
        <f t="shared" si="1"/>
        <v>0</v>
      </c>
      <c r="F8" s="630">
        <v>0</v>
      </c>
      <c r="G8" s="631">
        <f t="shared" si="3"/>
        <v>0</v>
      </c>
      <c r="H8" s="62"/>
      <c r="I8" s="225">
        <f t="shared" si="7"/>
        <v>40</v>
      </c>
      <c r="J8" s="236"/>
      <c r="K8" s="1338">
        <f t="shared" si="4"/>
        <v>1.1399999999999999</v>
      </c>
      <c r="L8" s="630">
        <v>0</v>
      </c>
      <c r="M8" s="1339">
        <f t="shared" si="5"/>
        <v>0</v>
      </c>
      <c r="N8" s="630">
        <v>0</v>
      </c>
      <c r="O8" s="631">
        <f t="shared" si="6"/>
        <v>0</v>
      </c>
    </row>
    <row r="9" spans="1:15" x14ac:dyDescent="0.25">
      <c r="A9" s="225">
        <f t="shared" si="2"/>
        <v>5</v>
      </c>
      <c r="B9" s="236"/>
      <c r="C9" s="1338">
        <f t="shared" si="0"/>
        <v>1.1399999999999999</v>
      </c>
      <c r="D9" s="630">
        <v>0</v>
      </c>
      <c r="E9" s="1339">
        <f t="shared" si="1"/>
        <v>0</v>
      </c>
      <c r="F9" s="630">
        <v>0</v>
      </c>
      <c r="G9" s="631">
        <f t="shared" si="3"/>
        <v>0</v>
      </c>
      <c r="H9" s="62"/>
      <c r="I9" s="225">
        <f t="shared" si="7"/>
        <v>41</v>
      </c>
      <c r="J9" s="236"/>
      <c r="K9" s="1338">
        <f t="shared" si="4"/>
        <v>1.1399999999999999</v>
      </c>
      <c r="L9" s="630">
        <v>0</v>
      </c>
      <c r="M9" s="1339">
        <f t="shared" si="5"/>
        <v>0</v>
      </c>
      <c r="N9" s="630">
        <v>0</v>
      </c>
      <c r="O9" s="631">
        <f t="shared" si="6"/>
        <v>0</v>
      </c>
    </row>
    <row r="10" spans="1:15" x14ac:dyDescent="0.25">
      <c r="A10" s="225">
        <f t="shared" si="2"/>
        <v>6</v>
      </c>
      <c r="B10" s="236"/>
      <c r="C10" s="1338">
        <f t="shared" si="0"/>
        <v>1.1399999999999999</v>
      </c>
      <c r="D10" s="630">
        <v>0</v>
      </c>
      <c r="E10" s="1339">
        <f t="shared" si="1"/>
        <v>0</v>
      </c>
      <c r="F10" s="630">
        <v>0</v>
      </c>
      <c r="G10" s="631">
        <f t="shared" si="3"/>
        <v>0</v>
      </c>
      <c r="H10" s="62"/>
      <c r="I10" s="225">
        <f t="shared" si="7"/>
        <v>42</v>
      </c>
      <c r="J10" s="236"/>
      <c r="K10" s="1338">
        <f t="shared" si="4"/>
        <v>1.1399999999999999</v>
      </c>
      <c r="L10" s="630">
        <v>0</v>
      </c>
      <c r="M10" s="1339">
        <f t="shared" si="5"/>
        <v>0</v>
      </c>
      <c r="N10" s="630">
        <v>0</v>
      </c>
      <c r="O10" s="631">
        <f t="shared" si="6"/>
        <v>0</v>
      </c>
    </row>
    <row r="11" spans="1:15" x14ac:dyDescent="0.25">
      <c r="A11" s="225">
        <f t="shared" si="2"/>
        <v>7</v>
      </c>
      <c r="B11" s="236"/>
      <c r="C11" s="1338">
        <f t="shared" si="0"/>
        <v>1.1399999999999999</v>
      </c>
      <c r="D11" s="630">
        <v>0</v>
      </c>
      <c r="E11" s="1339">
        <f t="shared" si="1"/>
        <v>0</v>
      </c>
      <c r="F11" s="630">
        <v>0</v>
      </c>
      <c r="G11" s="631">
        <f t="shared" si="3"/>
        <v>0</v>
      </c>
      <c r="H11" s="62"/>
      <c r="I11" s="225">
        <f t="shared" si="7"/>
        <v>43</v>
      </c>
      <c r="J11" s="236"/>
      <c r="K11" s="1338">
        <f t="shared" si="4"/>
        <v>1.1399999999999999</v>
      </c>
      <c r="L11" s="630">
        <v>0</v>
      </c>
      <c r="M11" s="1339">
        <f t="shared" si="5"/>
        <v>0</v>
      </c>
      <c r="N11" s="630">
        <v>0</v>
      </c>
      <c r="O11" s="631">
        <f t="shared" si="6"/>
        <v>0</v>
      </c>
    </row>
    <row r="12" spans="1:15" x14ac:dyDescent="0.25">
      <c r="A12" s="225">
        <f t="shared" si="2"/>
        <v>8</v>
      </c>
      <c r="B12" s="236"/>
      <c r="C12" s="1338">
        <f t="shared" si="0"/>
        <v>1.1399999999999999</v>
      </c>
      <c r="D12" s="630">
        <v>0</v>
      </c>
      <c r="E12" s="1339">
        <f t="shared" si="1"/>
        <v>0</v>
      </c>
      <c r="F12" s="630">
        <v>0</v>
      </c>
      <c r="G12" s="631">
        <f t="shared" si="3"/>
        <v>0</v>
      </c>
      <c r="H12" s="62"/>
      <c r="I12" s="225">
        <f t="shared" si="7"/>
        <v>44</v>
      </c>
      <c r="J12" s="236"/>
      <c r="K12" s="1338">
        <f t="shared" si="4"/>
        <v>1.1399999999999999</v>
      </c>
      <c r="L12" s="630">
        <v>0</v>
      </c>
      <c r="M12" s="1339">
        <f t="shared" si="5"/>
        <v>0</v>
      </c>
      <c r="N12" s="630">
        <v>0</v>
      </c>
      <c r="O12" s="631">
        <f t="shared" si="6"/>
        <v>0</v>
      </c>
    </row>
    <row r="13" spans="1:15" x14ac:dyDescent="0.25">
      <c r="A13" s="225">
        <f t="shared" si="2"/>
        <v>9</v>
      </c>
      <c r="B13" s="236"/>
      <c r="C13" s="1338">
        <f t="shared" si="0"/>
        <v>1.1399999999999999</v>
      </c>
      <c r="D13" s="630">
        <v>0</v>
      </c>
      <c r="E13" s="1339">
        <f t="shared" si="1"/>
        <v>0</v>
      </c>
      <c r="F13" s="630">
        <v>0</v>
      </c>
      <c r="G13" s="631">
        <f t="shared" si="3"/>
        <v>0</v>
      </c>
      <c r="H13" s="62"/>
      <c r="I13" s="225">
        <f t="shared" si="7"/>
        <v>45</v>
      </c>
      <c r="J13" s="236"/>
      <c r="K13" s="1338">
        <f t="shared" si="4"/>
        <v>1.1399999999999999</v>
      </c>
      <c r="L13" s="630">
        <v>0</v>
      </c>
      <c r="M13" s="1339">
        <f t="shared" si="5"/>
        <v>0</v>
      </c>
      <c r="N13" s="630">
        <v>0</v>
      </c>
      <c r="O13" s="631">
        <f t="shared" si="6"/>
        <v>0</v>
      </c>
    </row>
    <row r="14" spans="1:15" x14ac:dyDescent="0.25">
      <c r="A14" s="225">
        <f t="shared" si="2"/>
        <v>10</v>
      </c>
      <c r="B14" s="236"/>
      <c r="C14" s="1338">
        <f t="shared" si="0"/>
        <v>1.1399999999999999</v>
      </c>
      <c r="D14" s="630">
        <v>0</v>
      </c>
      <c r="E14" s="1339">
        <f t="shared" si="1"/>
        <v>0</v>
      </c>
      <c r="F14" s="630">
        <v>0</v>
      </c>
      <c r="G14" s="631">
        <f t="shared" si="3"/>
        <v>0</v>
      </c>
      <c r="H14" s="62"/>
      <c r="I14" s="225">
        <f t="shared" si="7"/>
        <v>46</v>
      </c>
      <c r="J14" s="236"/>
      <c r="K14" s="1338">
        <f t="shared" si="4"/>
        <v>1.1399999999999999</v>
      </c>
      <c r="L14" s="630">
        <v>0</v>
      </c>
      <c r="M14" s="1339">
        <f t="shared" si="5"/>
        <v>0</v>
      </c>
      <c r="N14" s="630">
        <v>0</v>
      </c>
      <c r="O14" s="631">
        <f t="shared" si="6"/>
        <v>0</v>
      </c>
    </row>
    <row r="15" spans="1:15" x14ac:dyDescent="0.25">
      <c r="A15" s="225">
        <f t="shared" si="2"/>
        <v>11</v>
      </c>
      <c r="B15" s="236"/>
      <c r="C15" s="1338">
        <f t="shared" si="0"/>
        <v>1.1399999999999999</v>
      </c>
      <c r="D15" s="630">
        <v>0</v>
      </c>
      <c r="E15" s="1339">
        <f t="shared" si="1"/>
        <v>0</v>
      </c>
      <c r="F15" s="630">
        <v>0</v>
      </c>
      <c r="G15" s="631">
        <f t="shared" si="3"/>
        <v>0</v>
      </c>
      <c r="H15" s="62"/>
      <c r="I15" s="225">
        <f t="shared" si="7"/>
        <v>47</v>
      </c>
      <c r="J15" s="236"/>
      <c r="K15" s="1338">
        <f t="shared" si="4"/>
        <v>1.1399999999999999</v>
      </c>
      <c r="L15" s="630">
        <v>0</v>
      </c>
      <c r="M15" s="1339">
        <f t="shared" si="5"/>
        <v>0</v>
      </c>
      <c r="N15" s="630">
        <v>0</v>
      </c>
      <c r="O15" s="631">
        <f t="shared" si="6"/>
        <v>0</v>
      </c>
    </row>
    <row r="16" spans="1:15" x14ac:dyDescent="0.25">
      <c r="A16" s="225">
        <f t="shared" si="2"/>
        <v>12</v>
      </c>
      <c r="B16" s="236"/>
      <c r="C16" s="1338">
        <f t="shared" si="0"/>
        <v>1.1399999999999999</v>
      </c>
      <c r="D16" s="630">
        <v>0</v>
      </c>
      <c r="E16" s="1339">
        <f t="shared" si="1"/>
        <v>0</v>
      </c>
      <c r="F16" s="630">
        <v>0</v>
      </c>
      <c r="G16" s="631">
        <f t="shared" si="3"/>
        <v>0</v>
      </c>
      <c r="H16" s="62"/>
      <c r="I16" s="225">
        <f t="shared" si="7"/>
        <v>48</v>
      </c>
      <c r="J16" s="236"/>
      <c r="K16" s="1338">
        <f t="shared" si="4"/>
        <v>1.1399999999999999</v>
      </c>
      <c r="L16" s="630">
        <v>0</v>
      </c>
      <c r="M16" s="1339">
        <f t="shared" si="5"/>
        <v>0</v>
      </c>
      <c r="N16" s="630">
        <v>0</v>
      </c>
      <c r="O16" s="631">
        <f t="shared" si="6"/>
        <v>0</v>
      </c>
    </row>
    <row r="17" spans="1:15" x14ac:dyDescent="0.25">
      <c r="A17" s="225">
        <f t="shared" si="2"/>
        <v>13</v>
      </c>
      <c r="B17" s="236"/>
      <c r="C17" s="1338">
        <f t="shared" si="0"/>
        <v>1.1399999999999999</v>
      </c>
      <c r="D17" s="630">
        <v>0</v>
      </c>
      <c r="E17" s="1339">
        <f t="shared" si="1"/>
        <v>0</v>
      </c>
      <c r="F17" s="630">
        <v>0</v>
      </c>
      <c r="G17" s="631">
        <f t="shared" si="3"/>
        <v>0</v>
      </c>
      <c r="H17" s="62"/>
      <c r="I17" s="225">
        <f t="shared" si="7"/>
        <v>49</v>
      </c>
      <c r="J17" s="236"/>
      <c r="K17" s="1338">
        <f t="shared" si="4"/>
        <v>1.1399999999999999</v>
      </c>
      <c r="L17" s="630">
        <v>0</v>
      </c>
      <c r="M17" s="1339">
        <f t="shared" si="5"/>
        <v>0</v>
      </c>
      <c r="N17" s="630">
        <v>0</v>
      </c>
      <c r="O17" s="631">
        <f t="shared" si="6"/>
        <v>0</v>
      </c>
    </row>
    <row r="18" spans="1:15" x14ac:dyDescent="0.25">
      <c r="A18" s="225">
        <f t="shared" si="2"/>
        <v>14</v>
      </c>
      <c r="B18" s="236"/>
      <c r="C18" s="1338">
        <f t="shared" si="0"/>
        <v>1.1399999999999999</v>
      </c>
      <c r="D18" s="630">
        <v>0</v>
      </c>
      <c r="E18" s="1339">
        <f t="shared" si="1"/>
        <v>0</v>
      </c>
      <c r="F18" s="630">
        <v>0</v>
      </c>
      <c r="G18" s="631">
        <f t="shared" si="3"/>
        <v>0</v>
      </c>
      <c r="H18" s="62"/>
      <c r="I18" s="225">
        <f t="shared" si="7"/>
        <v>50</v>
      </c>
      <c r="J18" s="236"/>
      <c r="K18" s="1338">
        <f t="shared" si="4"/>
        <v>1.1399999999999999</v>
      </c>
      <c r="L18" s="630">
        <v>0</v>
      </c>
      <c r="M18" s="1339">
        <f t="shared" si="5"/>
        <v>0</v>
      </c>
      <c r="N18" s="630">
        <v>0</v>
      </c>
      <c r="O18" s="631">
        <f t="shared" si="6"/>
        <v>0</v>
      </c>
    </row>
    <row r="19" spans="1:15" x14ac:dyDescent="0.25">
      <c r="A19" s="225">
        <f t="shared" si="2"/>
        <v>15</v>
      </c>
      <c r="B19" s="236"/>
      <c r="C19" s="1338">
        <f t="shared" si="0"/>
        <v>1.1399999999999999</v>
      </c>
      <c r="D19" s="630">
        <v>0</v>
      </c>
      <c r="E19" s="1339">
        <f t="shared" si="1"/>
        <v>0</v>
      </c>
      <c r="F19" s="630">
        <v>0</v>
      </c>
      <c r="G19" s="631">
        <f t="shared" si="3"/>
        <v>0</v>
      </c>
      <c r="H19" s="62"/>
      <c r="I19" s="225">
        <f t="shared" si="7"/>
        <v>51</v>
      </c>
      <c r="J19" s="236"/>
      <c r="K19" s="1338">
        <f t="shared" si="4"/>
        <v>1.1399999999999999</v>
      </c>
      <c r="L19" s="630">
        <v>0</v>
      </c>
      <c r="M19" s="1339">
        <f t="shared" si="5"/>
        <v>0</v>
      </c>
      <c r="N19" s="630">
        <v>0</v>
      </c>
      <c r="O19" s="631">
        <f t="shared" si="6"/>
        <v>0</v>
      </c>
    </row>
    <row r="20" spans="1:15" x14ac:dyDescent="0.25">
      <c r="A20" s="225">
        <f t="shared" si="2"/>
        <v>16</v>
      </c>
      <c r="B20" s="236"/>
      <c r="C20" s="1338">
        <f t="shared" si="0"/>
        <v>1.1399999999999999</v>
      </c>
      <c r="D20" s="630">
        <v>0</v>
      </c>
      <c r="E20" s="1339">
        <f t="shared" si="1"/>
        <v>0</v>
      </c>
      <c r="F20" s="630">
        <v>0</v>
      </c>
      <c r="G20" s="631">
        <f t="shared" si="3"/>
        <v>0</v>
      </c>
      <c r="H20" s="62"/>
      <c r="I20" s="225">
        <f t="shared" si="7"/>
        <v>52</v>
      </c>
      <c r="J20" s="236"/>
      <c r="K20" s="1338">
        <f t="shared" si="4"/>
        <v>1.1399999999999999</v>
      </c>
      <c r="L20" s="630">
        <v>0</v>
      </c>
      <c r="M20" s="1339">
        <f t="shared" si="5"/>
        <v>0</v>
      </c>
      <c r="N20" s="630">
        <v>0</v>
      </c>
      <c r="O20" s="631">
        <f t="shared" si="6"/>
        <v>0</v>
      </c>
    </row>
    <row r="21" spans="1:15" x14ac:dyDescent="0.25">
      <c r="A21" s="225">
        <f t="shared" si="2"/>
        <v>17</v>
      </c>
      <c r="B21" s="236"/>
      <c r="C21" s="1338">
        <f t="shared" si="0"/>
        <v>1.1399999999999999</v>
      </c>
      <c r="D21" s="630">
        <v>0</v>
      </c>
      <c r="E21" s="1339">
        <f t="shared" si="1"/>
        <v>0</v>
      </c>
      <c r="F21" s="630">
        <v>0</v>
      </c>
      <c r="G21" s="631">
        <f t="shared" si="3"/>
        <v>0</v>
      </c>
      <c r="H21" s="227"/>
      <c r="I21" s="225">
        <f t="shared" si="7"/>
        <v>53</v>
      </c>
      <c r="J21" s="236"/>
      <c r="K21" s="1338">
        <f t="shared" si="4"/>
        <v>1.1399999999999999</v>
      </c>
      <c r="L21" s="630">
        <v>0</v>
      </c>
      <c r="M21" s="1339">
        <f t="shared" si="5"/>
        <v>0</v>
      </c>
      <c r="N21" s="630">
        <v>0</v>
      </c>
      <c r="O21" s="631">
        <f t="shared" si="6"/>
        <v>0</v>
      </c>
    </row>
    <row r="22" spans="1:15" ht="27" customHeight="1" x14ac:dyDescent="0.25">
      <c r="A22" s="225">
        <f t="shared" si="2"/>
        <v>18</v>
      </c>
      <c r="B22" s="236"/>
      <c r="C22" s="1338">
        <f t="shared" si="0"/>
        <v>1.1399999999999999</v>
      </c>
      <c r="D22" s="630">
        <v>0</v>
      </c>
      <c r="E22" s="1339">
        <f t="shared" si="1"/>
        <v>0</v>
      </c>
      <c r="F22" s="630">
        <v>0</v>
      </c>
      <c r="G22" s="631">
        <f t="shared" si="3"/>
        <v>0</v>
      </c>
      <c r="H22" s="227"/>
      <c r="I22" s="225">
        <f t="shared" si="7"/>
        <v>54</v>
      </c>
      <c r="J22" s="236"/>
      <c r="K22" s="1338">
        <f t="shared" si="4"/>
        <v>1.1399999999999999</v>
      </c>
      <c r="L22" s="630">
        <v>0</v>
      </c>
      <c r="M22" s="1339">
        <f t="shared" si="5"/>
        <v>0</v>
      </c>
      <c r="N22" s="630">
        <v>0</v>
      </c>
      <c r="O22" s="631">
        <f t="shared" si="6"/>
        <v>0</v>
      </c>
    </row>
    <row r="23" spans="1:15" x14ac:dyDescent="0.25">
      <c r="A23" s="225">
        <f t="shared" si="2"/>
        <v>19</v>
      </c>
      <c r="B23" s="236"/>
      <c r="C23" s="1338">
        <f t="shared" si="0"/>
        <v>1.1399999999999999</v>
      </c>
      <c r="D23" s="630">
        <v>0</v>
      </c>
      <c r="E23" s="1339">
        <f t="shared" si="1"/>
        <v>0</v>
      </c>
      <c r="F23" s="630">
        <v>0</v>
      </c>
      <c r="G23" s="631">
        <f t="shared" si="3"/>
        <v>0</v>
      </c>
      <c r="H23" s="227"/>
      <c r="I23" s="225">
        <f t="shared" si="7"/>
        <v>55</v>
      </c>
      <c r="J23" s="236"/>
      <c r="K23" s="1338">
        <f t="shared" si="4"/>
        <v>1.1399999999999999</v>
      </c>
      <c r="L23" s="630">
        <v>0</v>
      </c>
      <c r="M23" s="1339">
        <f t="shared" si="5"/>
        <v>0</v>
      </c>
      <c r="N23" s="630">
        <v>0</v>
      </c>
      <c r="O23" s="631">
        <f t="shared" si="6"/>
        <v>0</v>
      </c>
    </row>
    <row r="24" spans="1:15" x14ac:dyDescent="0.25">
      <c r="A24" s="225">
        <f t="shared" si="2"/>
        <v>20</v>
      </c>
      <c r="B24" s="236"/>
      <c r="C24" s="1338">
        <f t="shared" si="0"/>
        <v>1.1399999999999999</v>
      </c>
      <c r="D24" s="630">
        <v>0</v>
      </c>
      <c r="E24" s="1339">
        <f t="shared" si="1"/>
        <v>0</v>
      </c>
      <c r="F24" s="630">
        <v>0</v>
      </c>
      <c r="G24" s="631">
        <f t="shared" si="3"/>
        <v>0</v>
      </c>
      <c r="H24" s="62"/>
      <c r="I24" s="225">
        <f t="shared" si="7"/>
        <v>56</v>
      </c>
      <c r="J24" s="236"/>
      <c r="K24" s="1338">
        <f t="shared" si="4"/>
        <v>1.1399999999999999</v>
      </c>
      <c r="L24" s="630">
        <v>0</v>
      </c>
      <c r="M24" s="1339">
        <f t="shared" si="5"/>
        <v>0</v>
      </c>
      <c r="N24" s="630">
        <v>0</v>
      </c>
      <c r="O24" s="631">
        <f t="shared" si="6"/>
        <v>0</v>
      </c>
    </row>
    <row r="25" spans="1:15" x14ac:dyDescent="0.25">
      <c r="A25" s="225">
        <f t="shared" si="2"/>
        <v>21</v>
      </c>
      <c r="B25" s="236"/>
      <c r="C25" s="1338">
        <f t="shared" si="0"/>
        <v>1.1399999999999999</v>
      </c>
      <c r="D25" s="630">
        <v>0</v>
      </c>
      <c r="E25" s="1339">
        <f t="shared" si="1"/>
        <v>0</v>
      </c>
      <c r="F25" s="630">
        <v>0</v>
      </c>
      <c r="G25" s="631">
        <f t="shared" si="3"/>
        <v>0</v>
      </c>
      <c r="H25" s="62"/>
      <c r="I25" s="225">
        <f t="shared" si="7"/>
        <v>57</v>
      </c>
      <c r="J25" s="236"/>
      <c r="K25" s="1338">
        <f t="shared" si="4"/>
        <v>1.1399999999999999</v>
      </c>
      <c r="L25" s="630">
        <v>0</v>
      </c>
      <c r="M25" s="1339">
        <f t="shared" si="5"/>
        <v>0</v>
      </c>
      <c r="N25" s="630">
        <v>0</v>
      </c>
      <c r="O25" s="631">
        <f t="shared" si="6"/>
        <v>0</v>
      </c>
    </row>
    <row r="26" spans="1:15" x14ac:dyDescent="0.25">
      <c r="A26" s="225">
        <f t="shared" si="2"/>
        <v>22</v>
      </c>
      <c r="B26" s="236"/>
      <c r="C26" s="1338">
        <f t="shared" si="0"/>
        <v>1.1399999999999999</v>
      </c>
      <c r="D26" s="630">
        <v>0</v>
      </c>
      <c r="E26" s="1339">
        <f t="shared" si="1"/>
        <v>0</v>
      </c>
      <c r="F26" s="630">
        <v>0</v>
      </c>
      <c r="G26" s="631">
        <f t="shared" si="3"/>
        <v>0</v>
      </c>
      <c r="H26" s="62"/>
      <c r="I26" s="225">
        <f t="shared" si="7"/>
        <v>58</v>
      </c>
      <c r="J26" s="236"/>
      <c r="K26" s="1338">
        <f t="shared" si="4"/>
        <v>1.1399999999999999</v>
      </c>
      <c r="L26" s="630">
        <v>0</v>
      </c>
      <c r="M26" s="1339">
        <f t="shared" si="5"/>
        <v>0</v>
      </c>
      <c r="N26" s="630">
        <v>0</v>
      </c>
      <c r="O26" s="631">
        <f t="shared" si="6"/>
        <v>0</v>
      </c>
    </row>
    <row r="27" spans="1:15" x14ac:dyDescent="0.25">
      <c r="A27" s="225">
        <f t="shared" si="2"/>
        <v>23</v>
      </c>
      <c r="B27" s="236"/>
      <c r="C27" s="1338">
        <f t="shared" si="0"/>
        <v>1.1399999999999999</v>
      </c>
      <c r="D27" s="630">
        <v>0</v>
      </c>
      <c r="E27" s="1339">
        <f t="shared" si="1"/>
        <v>0</v>
      </c>
      <c r="F27" s="630">
        <v>0</v>
      </c>
      <c r="G27" s="631">
        <f t="shared" si="3"/>
        <v>0</v>
      </c>
      <c r="H27" s="62"/>
      <c r="I27" s="225">
        <f t="shared" si="7"/>
        <v>59</v>
      </c>
      <c r="J27" s="236"/>
      <c r="K27" s="1338">
        <f t="shared" si="4"/>
        <v>1.1399999999999999</v>
      </c>
      <c r="L27" s="630">
        <v>0</v>
      </c>
      <c r="M27" s="1339">
        <f t="shared" si="5"/>
        <v>0</v>
      </c>
      <c r="N27" s="630">
        <v>0</v>
      </c>
      <c r="O27" s="631">
        <f t="shared" si="6"/>
        <v>0</v>
      </c>
    </row>
    <row r="28" spans="1:15" x14ac:dyDescent="0.25">
      <c r="A28" s="225">
        <f t="shared" si="2"/>
        <v>24</v>
      </c>
      <c r="B28" s="236"/>
      <c r="C28" s="1338">
        <f t="shared" si="0"/>
        <v>1.1399999999999999</v>
      </c>
      <c r="D28" s="630">
        <v>0</v>
      </c>
      <c r="E28" s="1339">
        <f t="shared" si="1"/>
        <v>0</v>
      </c>
      <c r="F28" s="630">
        <v>0</v>
      </c>
      <c r="G28" s="631">
        <f t="shared" si="3"/>
        <v>0</v>
      </c>
      <c r="H28" s="62"/>
      <c r="I28" s="225">
        <f t="shared" si="7"/>
        <v>60</v>
      </c>
      <c r="J28" s="236"/>
      <c r="K28" s="1338">
        <f t="shared" si="4"/>
        <v>1.1399999999999999</v>
      </c>
      <c r="L28" s="630">
        <v>0</v>
      </c>
      <c r="M28" s="1339">
        <f t="shared" si="5"/>
        <v>0</v>
      </c>
      <c r="N28" s="630">
        <v>0</v>
      </c>
      <c r="O28" s="631">
        <f t="shared" si="6"/>
        <v>0</v>
      </c>
    </row>
    <row r="29" spans="1:15" x14ac:dyDescent="0.25">
      <c r="A29" s="225">
        <f t="shared" si="2"/>
        <v>25</v>
      </c>
      <c r="B29" s="236"/>
      <c r="C29" s="1338">
        <f t="shared" si="0"/>
        <v>1.1399999999999999</v>
      </c>
      <c r="D29" s="630">
        <v>0</v>
      </c>
      <c r="E29" s="1339">
        <f t="shared" si="1"/>
        <v>0</v>
      </c>
      <c r="F29" s="630">
        <v>0</v>
      </c>
      <c r="G29" s="631">
        <f t="shared" si="3"/>
        <v>0</v>
      </c>
      <c r="H29" s="62"/>
      <c r="I29" s="225">
        <f t="shared" si="7"/>
        <v>61</v>
      </c>
      <c r="J29" s="236"/>
      <c r="K29" s="1338">
        <f t="shared" si="4"/>
        <v>1.1399999999999999</v>
      </c>
      <c r="L29" s="630">
        <v>0</v>
      </c>
      <c r="M29" s="1339">
        <f t="shared" si="5"/>
        <v>0</v>
      </c>
      <c r="N29" s="630">
        <v>0</v>
      </c>
      <c r="O29" s="631">
        <f t="shared" si="6"/>
        <v>0</v>
      </c>
    </row>
    <row r="30" spans="1:15" x14ac:dyDescent="0.25">
      <c r="A30" s="225">
        <f t="shared" si="2"/>
        <v>26</v>
      </c>
      <c r="B30" s="236"/>
      <c r="C30" s="1338">
        <f t="shared" si="0"/>
        <v>1.1399999999999999</v>
      </c>
      <c r="D30" s="630">
        <v>0</v>
      </c>
      <c r="E30" s="1339">
        <f t="shared" si="1"/>
        <v>0</v>
      </c>
      <c r="F30" s="630">
        <v>0</v>
      </c>
      <c r="G30" s="631">
        <f t="shared" si="3"/>
        <v>0</v>
      </c>
      <c r="H30" s="62"/>
      <c r="I30" s="225">
        <f t="shared" si="7"/>
        <v>62</v>
      </c>
      <c r="J30" s="236"/>
      <c r="K30" s="1338">
        <f t="shared" si="4"/>
        <v>1.1399999999999999</v>
      </c>
      <c r="L30" s="630">
        <v>0</v>
      </c>
      <c r="M30" s="1339">
        <f t="shared" si="5"/>
        <v>0</v>
      </c>
      <c r="N30" s="630">
        <v>0</v>
      </c>
      <c r="O30" s="631">
        <f t="shared" si="6"/>
        <v>0</v>
      </c>
    </row>
    <row r="31" spans="1:15" x14ac:dyDescent="0.25">
      <c r="A31" s="225">
        <f t="shared" si="2"/>
        <v>27</v>
      </c>
      <c r="B31" s="236"/>
      <c r="C31" s="1338">
        <f t="shared" si="0"/>
        <v>1.1399999999999999</v>
      </c>
      <c r="D31" s="630">
        <v>0</v>
      </c>
      <c r="E31" s="1339">
        <f t="shared" si="1"/>
        <v>0</v>
      </c>
      <c r="F31" s="630">
        <v>0</v>
      </c>
      <c r="G31" s="631">
        <f t="shared" si="3"/>
        <v>0</v>
      </c>
      <c r="H31" s="62"/>
      <c r="I31" s="225">
        <f t="shared" si="7"/>
        <v>63</v>
      </c>
      <c r="J31" s="236"/>
      <c r="K31" s="1338">
        <f t="shared" si="4"/>
        <v>1.1399999999999999</v>
      </c>
      <c r="L31" s="630">
        <v>0</v>
      </c>
      <c r="M31" s="1339">
        <f t="shared" si="5"/>
        <v>0</v>
      </c>
      <c r="N31" s="630">
        <v>0</v>
      </c>
      <c r="O31" s="631">
        <f t="shared" si="6"/>
        <v>0</v>
      </c>
    </row>
    <row r="32" spans="1:15" x14ac:dyDescent="0.25">
      <c r="A32" s="225">
        <f t="shared" si="2"/>
        <v>28</v>
      </c>
      <c r="B32" s="236"/>
      <c r="C32" s="1338">
        <f t="shared" si="0"/>
        <v>1.1399999999999999</v>
      </c>
      <c r="D32" s="630">
        <v>0</v>
      </c>
      <c r="E32" s="1339">
        <f t="shared" si="1"/>
        <v>0</v>
      </c>
      <c r="F32" s="630">
        <v>0</v>
      </c>
      <c r="G32" s="631">
        <f t="shared" si="3"/>
        <v>0</v>
      </c>
      <c r="H32" s="62"/>
      <c r="I32" s="225">
        <f t="shared" si="7"/>
        <v>64</v>
      </c>
      <c r="J32" s="236"/>
      <c r="K32" s="1338">
        <f t="shared" si="4"/>
        <v>1.1399999999999999</v>
      </c>
      <c r="L32" s="630">
        <v>0</v>
      </c>
      <c r="M32" s="1339">
        <f t="shared" si="5"/>
        <v>0</v>
      </c>
      <c r="N32" s="630">
        <v>0</v>
      </c>
      <c r="O32" s="631">
        <f t="shared" si="6"/>
        <v>0</v>
      </c>
    </row>
    <row r="33" spans="1:15" x14ac:dyDescent="0.25">
      <c r="A33" s="225">
        <f t="shared" si="2"/>
        <v>29</v>
      </c>
      <c r="B33" s="236"/>
      <c r="C33" s="1338">
        <f t="shared" si="0"/>
        <v>1.1399999999999999</v>
      </c>
      <c r="D33" s="630">
        <v>0</v>
      </c>
      <c r="E33" s="1339">
        <f t="shared" si="1"/>
        <v>0</v>
      </c>
      <c r="F33" s="630">
        <v>0</v>
      </c>
      <c r="G33" s="631">
        <f t="shared" si="3"/>
        <v>0</v>
      </c>
      <c r="H33" s="62"/>
      <c r="I33" s="225">
        <f t="shared" si="7"/>
        <v>65</v>
      </c>
      <c r="J33" s="236"/>
      <c r="K33" s="1338">
        <f t="shared" si="4"/>
        <v>1.1399999999999999</v>
      </c>
      <c r="L33" s="630">
        <v>0</v>
      </c>
      <c r="M33" s="1339">
        <f t="shared" si="5"/>
        <v>0</v>
      </c>
      <c r="N33" s="630">
        <v>0</v>
      </c>
      <c r="O33" s="631">
        <f t="shared" si="6"/>
        <v>0</v>
      </c>
    </row>
    <row r="34" spans="1:15" x14ac:dyDescent="0.25">
      <c r="A34" s="225">
        <f t="shared" si="2"/>
        <v>30</v>
      </c>
      <c r="B34" s="236"/>
      <c r="C34" s="1338">
        <f t="shared" si="0"/>
        <v>1.1399999999999999</v>
      </c>
      <c r="D34" s="630">
        <v>0</v>
      </c>
      <c r="E34" s="1339">
        <f t="shared" si="1"/>
        <v>0</v>
      </c>
      <c r="F34" s="630">
        <v>0</v>
      </c>
      <c r="G34" s="631">
        <f t="shared" si="3"/>
        <v>0</v>
      </c>
      <c r="H34" s="62"/>
      <c r="I34" s="225">
        <f t="shared" si="7"/>
        <v>66</v>
      </c>
      <c r="J34" s="236"/>
      <c r="K34" s="1338">
        <f t="shared" si="4"/>
        <v>1.1399999999999999</v>
      </c>
      <c r="L34" s="630">
        <v>0</v>
      </c>
      <c r="M34" s="1339">
        <f t="shared" si="5"/>
        <v>0</v>
      </c>
      <c r="N34" s="630">
        <v>0</v>
      </c>
      <c r="O34" s="631">
        <f t="shared" si="6"/>
        <v>0</v>
      </c>
    </row>
    <row r="35" spans="1:15" x14ac:dyDescent="0.25">
      <c r="A35" s="225">
        <f t="shared" si="2"/>
        <v>31</v>
      </c>
      <c r="B35" s="236"/>
      <c r="C35" s="1338">
        <f t="shared" si="0"/>
        <v>1.1399999999999999</v>
      </c>
      <c r="D35" s="630">
        <v>0</v>
      </c>
      <c r="E35" s="1339">
        <f t="shared" si="1"/>
        <v>0</v>
      </c>
      <c r="F35" s="630">
        <v>0</v>
      </c>
      <c r="G35" s="631">
        <f t="shared" si="3"/>
        <v>0</v>
      </c>
      <c r="H35" s="62"/>
      <c r="I35" s="225">
        <f t="shared" si="7"/>
        <v>67</v>
      </c>
      <c r="J35" s="236"/>
      <c r="K35" s="1338">
        <f t="shared" si="4"/>
        <v>1.1399999999999999</v>
      </c>
      <c r="L35" s="630">
        <v>0</v>
      </c>
      <c r="M35" s="1339">
        <f t="shared" si="5"/>
        <v>0</v>
      </c>
      <c r="N35" s="630">
        <v>0</v>
      </c>
      <c r="O35" s="631">
        <f t="shared" si="6"/>
        <v>0</v>
      </c>
    </row>
    <row r="36" spans="1:15" x14ac:dyDescent="0.25">
      <c r="A36" s="225">
        <f t="shared" si="2"/>
        <v>32</v>
      </c>
      <c r="B36" s="236"/>
      <c r="C36" s="1338">
        <f t="shared" si="0"/>
        <v>1.1399999999999999</v>
      </c>
      <c r="D36" s="630">
        <v>0</v>
      </c>
      <c r="E36" s="1339">
        <f t="shared" si="1"/>
        <v>0</v>
      </c>
      <c r="F36" s="630">
        <v>0</v>
      </c>
      <c r="G36" s="631">
        <f t="shared" si="3"/>
        <v>0</v>
      </c>
      <c r="H36" s="62"/>
      <c r="I36" s="225">
        <f t="shared" si="7"/>
        <v>68</v>
      </c>
      <c r="J36" s="236"/>
      <c r="K36" s="1338">
        <f t="shared" si="4"/>
        <v>1.1399999999999999</v>
      </c>
      <c r="L36" s="630">
        <v>0</v>
      </c>
      <c r="M36" s="1339">
        <f t="shared" si="5"/>
        <v>0</v>
      </c>
      <c r="N36" s="630">
        <v>0</v>
      </c>
      <c r="O36" s="631">
        <f t="shared" si="6"/>
        <v>0</v>
      </c>
    </row>
    <row r="37" spans="1:15" x14ac:dyDescent="0.25">
      <c r="A37" s="225">
        <f t="shared" si="2"/>
        <v>33</v>
      </c>
      <c r="B37" s="236"/>
      <c r="C37" s="1338">
        <f t="shared" si="0"/>
        <v>1.1399999999999999</v>
      </c>
      <c r="D37" s="630">
        <v>0</v>
      </c>
      <c r="E37" s="1339">
        <f t="shared" si="1"/>
        <v>0</v>
      </c>
      <c r="F37" s="630">
        <v>0</v>
      </c>
      <c r="G37" s="631">
        <f t="shared" si="3"/>
        <v>0</v>
      </c>
      <c r="H37" s="62"/>
      <c r="I37" s="225">
        <f t="shared" si="7"/>
        <v>69</v>
      </c>
      <c r="J37" s="236"/>
      <c r="K37" s="1338">
        <f t="shared" si="4"/>
        <v>1.1399999999999999</v>
      </c>
      <c r="L37" s="630">
        <v>0</v>
      </c>
      <c r="M37" s="1339">
        <f t="shared" si="5"/>
        <v>0</v>
      </c>
      <c r="N37" s="630">
        <v>0</v>
      </c>
      <c r="O37" s="631">
        <f t="shared" si="6"/>
        <v>0</v>
      </c>
    </row>
    <row r="38" spans="1:15" x14ac:dyDescent="0.25">
      <c r="A38" s="225">
        <f t="shared" si="2"/>
        <v>34</v>
      </c>
      <c r="B38" s="236"/>
      <c r="C38" s="1338">
        <f t="shared" si="0"/>
        <v>1.1399999999999999</v>
      </c>
      <c r="D38" s="630">
        <v>0</v>
      </c>
      <c r="E38" s="1339">
        <f t="shared" si="1"/>
        <v>0</v>
      </c>
      <c r="F38" s="630">
        <v>0</v>
      </c>
      <c r="G38" s="631">
        <f t="shared" si="3"/>
        <v>0</v>
      </c>
      <c r="H38" s="62"/>
      <c r="I38" s="225">
        <f t="shared" si="7"/>
        <v>70</v>
      </c>
      <c r="J38" s="236"/>
      <c r="K38" s="1338">
        <f t="shared" si="4"/>
        <v>1.1399999999999999</v>
      </c>
      <c r="L38" s="630">
        <v>0</v>
      </c>
      <c r="M38" s="1339">
        <f t="shared" si="5"/>
        <v>0</v>
      </c>
      <c r="N38" s="630">
        <v>0</v>
      </c>
      <c r="O38" s="631">
        <f t="shared" si="6"/>
        <v>0</v>
      </c>
    </row>
    <row r="39" spans="1:15" x14ac:dyDescent="0.25">
      <c r="A39" s="225">
        <f t="shared" si="2"/>
        <v>35</v>
      </c>
      <c r="B39" s="236"/>
      <c r="C39" s="1338">
        <f t="shared" si="0"/>
        <v>1.1399999999999999</v>
      </c>
      <c r="D39" s="630">
        <v>0</v>
      </c>
      <c r="E39" s="1339">
        <f t="shared" si="1"/>
        <v>0</v>
      </c>
      <c r="F39" s="630">
        <v>0</v>
      </c>
      <c r="G39" s="631">
        <f t="shared" si="3"/>
        <v>0</v>
      </c>
      <c r="H39" s="62"/>
      <c r="I39" s="225">
        <f t="shared" si="7"/>
        <v>71</v>
      </c>
      <c r="J39" s="236"/>
      <c r="K39" s="1338">
        <f t="shared" si="4"/>
        <v>1.1399999999999999</v>
      </c>
      <c r="L39" s="630">
        <v>0</v>
      </c>
      <c r="M39" s="1339">
        <f t="shared" si="5"/>
        <v>0</v>
      </c>
      <c r="N39" s="630">
        <v>0</v>
      </c>
      <c r="O39" s="631">
        <f t="shared" si="6"/>
        <v>0</v>
      </c>
    </row>
    <row r="40" spans="1:15" x14ac:dyDescent="0.25">
      <c r="A40" s="225">
        <f t="shared" si="2"/>
        <v>36</v>
      </c>
      <c r="B40" s="236"/>
      <c r="C40" s="1338">
        <f t="shared" si="0"/>
        <v>1.1399999999999999</v>
      </c>
      <c r="D40" s="630">
        <v>0</v>
      </c>
      <c r="E40" s="1339">
        <f t="shared" si="1"/>
        <v>0</v>
      </c>
      <c r="F40" s="630">
        <v>0</v>
      </c>
      <c r="G40" s="631">
        <f t="shared" si="3"/>
        <v>0</v>
      </c>
      <c r="H40" s="62"/>
      <c r="I40" s="225">
        <f t="shared" si="7"/>
        <v>72</v>
      </c>
      <c r="J40" s="236"/>
      <c r="K40" s="1338">
        <f t="shared" si="4"/>
        <v>1.1399999999999999</v>
      </c>
      <c r="L40" s="630">
        <v>0</v>
      </c>
      <c r="M40" s="1339">
        <f t="shared" si="5"/>
        <v>0</v>
      </c>
      <c r="N40" s="630">
        <v>0</v>
      </c>
      <c r="O40" s="631">
        <f t="shared" si="6"/>
        <v>0</v>
      </c>
    </row>
    <row r="41" spans="1:15" ht="15.6" thickBot="1" x14ac:dyDescent="0.3">
      <c r="A41" s="225">
        <f t="shared" si="2"/>
        <v>37</v>
      </c>
      <c r="B41" s="236"/>
      <c r="C41" s="1338">
        <f t="shared" si="0"/>
        <v>1.1399999999999999</v>
      </c>
      <c r="D41" s="630"/>
      <c r="E41" s="1339">
        <f t="shared" si="1"/>
        <v>0</v>
      </c>
      <c r="F41" s="630">
        <v>0</v>
      </c>
      <c r="G41" s="631">
        <f t="shared" si="3"/>
        <v>0</v>
      </c>
      <c r="H41" s="62"/>
      <c r="I41" s="225">
        <f t="shared" si="7"/>
        <v>73</v>
      </c>
      <c r="J41" s="236"/>
      <c r="K41" s="1338">
        <f t="shared" si="4"/>
        <v>1.1399999999999999</v>
      </c>
      <c r="L41" s="630"/>
      <c r="M41" s="1339">
        <f t="shared" si="5"/>
        <v>0</v>
      </c>
      <c r="N41" s="630">
        <v>0</v>
      </c>
      <c r="O41" s="631">
        <f t="shared" si="6"/>
        <v>0</v>
      </c>
    </row>
    <row r="42" spans="1:15" ht="16.2" thickTop="1" thickBot="1" x14ac:dyDescent="0.3">
      <c r="A42" s="228" t="s">
        <v>6</v>
      </c>
      <c r="B42" s="233"/>
      <c r="C42" s="233"/>
      <c r="D42" s="632">
        <f>SUM(D5:D41)</f>
        <v>0</v>
      </c>
      <c r="E42" s="632">
        <f>SUM(E5:E41)</f>
        <v>0</v>
      </c>
      <c r="F42" s="632">
        <f>SUM(F5:F41)</f>
        <v>0</v>
      </c>
      <c r="G42" s="633">
        <f>SUM(G5:G41)</f>
        <v>0</v>
      </c>
      <c r="H42" s="81"/>
      <c r="I42" s="228" t="s">
        <v>6</v>
      </c>
      <c r="J42" s="229">
        <f>L42-M42</f>
        <v>0</v>
      </c>
      <c r="K42" s="229"/>
      <c r="L42" s="229">
        <f>SUM(L5:L41)</f>
        <v>0</v>
      </c>
      <c r="M42" s="229">
        <f>SUM(M5:M41)</f>
        <v>0</v>
      </c>
      <c r="N42" s="229">
        <f>SUM(N5:N41)</f>
        <v>0</v>
      </c>
      <c r="O42" s="230">
        <f>SUM(O5:O41)</f>
        <v>0</v>
      </c>
    </row>
    <row r="43" spans="1:15" ht="15.6" thickTop="1" x14ac:dyDescent="0.25"/>
  </sheetData>
  <sheetProtection algorithmName="SHA-512" hashValue="eBDHH5hgWdzld3dwvzPULrta5UGlXEimVLQ2l8iu0tHMPbKusXLo2ZXycnT85zMryfjZsBKkLoEefpiyEbNcMw==" saltValue="99ucbW8adQwkRliV+idZhw==" spinCount="100000" sheet="1" objects="1" scenarios="1"/>
  <mergeCells count="2">
    <mergeCell ref="A2:D2"/>
    <mergeCell ref="I2:L2"/>
  </mergeCells>
  <phoneticPr fontId="5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topLeftCell="A34" workbookViewId="0">
      <selection activeCell="F54" sqref="F54"/>
    </sheetView>
  </sheetViews>
  <sheetFormatPr defaultRowHeight="15" x14ac:dyDescent="0.25"/>
  <cols>
    <col min="1" max="1" width="3.4140625" customWidth="1"/>
    <col min="2" max="2" width="8.75" customWidth="1"/>
    <col min="3" max="3" width="15.25" customWidth="1"/>
    <col min="4" max="4" width="1.08203125" customWidth="1"/>
    <col min="5" max="5" width="4.25" customWidth="1"/>
    <col min="6" max="6" width="7.08203125" customWidth="1"/>
    <col min="7" max="7" width="4.9140625" customWidth="1"/>
    <col min="8" max="8" width="11.08203125" customWidth="1"/>
    <col min="9" max="9" width="1.58203125" customWidth="1"/>
    <col min="10" max="10" width="9.9140625" customWidth="1"/>
    <col min="11" max="11" width="2.4140625" customWidth="1"/>
    <col min="12" max="12" width="12.25" customWidth="1"/>
    <col min="14" max="14" width="11" bestFit="1" customWidth="1"/>
  </cols>
  <sheetData>
    <row r="1" spans="1:12" ht="15.6" thickTop="1" x14ac:dyDescent="0.25">
      <c r="A1" s="778"/>
      <c r="B1" s="779"/>
      <c r="C1" s="779"/>
      <c r="D1" s="779"/>
      <c r="E1" s="779"/>
      <c r="F1" s="779"/>
      <c r="G1" s="779"/>
      <c r="H1" s="779"/>
      <c r="I1" s="779"/>
      <c r="J1" s="779"/>
      <c r="K1" s="779" t="s">
        <v>339</v>
      </c>
      <c r="L1" s="780"/>
    </row>
    <row r="2" spans="1:12" ht="15.6" x14ac:dyDescent="0.3">
      <c r="A2" s="781"/>
      <c r="B2" s="782"/>
      <c r="C2" s="782"/>
      <c r="D2" s="782"/>
      <c r="E2" s="782"/>
      <c r="F2" s="783" t="s">
        <v>340</v>
      </c>
      <c r="G2" s="782"/>
      <c r="H2" s="782"/>
      <c r="I2" s="782"/>
      <c r="J2" s="782"/>
      <c r="K2" s="782"/>
      <c r="L2" s="784"/>
    </row>
    <row r="3" spans="1:12" x14ac:dyDescent="0.25">
      <c r="A3" s="781"/>
      <c r="B3" s="782"/>
      <c r="C3" s="782"/>
      <c r="D3" s="782"/>
      <c r="E3" s="782"/>
      <c r="F3" s="782"/>
      <c r="G3" s="782"/>
      <c r="H3" s="782"/>
      <c r="I3" s="782"/>
      <c r="J3" s="782"/>
      <c r="K3" s="782"/>
      <c r="L3" s="785"/>
    </row>
    <row r="4" spans="1:12" x14ac:dyDescent="0.25">
      <c r="A4" s="781"/>
      <c r="B4" s="782"/>
      <c r="C4" s="782"/>
      <c r="D4" s="782"/>
      <c r="E4" s="782"/>
      <c r="F4" s="786" t="s">
        <v>341</v>
      </c>
      <c r="G4" s="1239">
        <f>'Input Data'!D29</f>
        <v>0</v>
      </c>
      <c r="H4" s="782"/>
      <c r="I4" s="782"/>
      <c r="J4" s="787" t="s">
        <v>4</v>
      </c>
      <c r="K4" s="782" t="s">
        <v>342</v>
      </c>
      <c r="L4" s="788">
        <f>'Input Data'!D28</f>
        <v>0</v>
      </c>
    </row>
    <row r="5" spans="1:12" x14ac:dyDescent="0.25">
      <c r="A5" s="781"/>
      <c r="B5" s="782"/>
      <c r="C5" s="782"/>
      <c r="D5" s="782"/>
      <c r="E5" s="782"/>
      <c r="F5" s="782"/>
      <c r="G5" s="782"/>
      <c r="H5" s="782"/>
      <c r="I5" s="782"/>
      <c r="J5" s="782"/>
      <c r="K5" s="782"/>
      <c r="L5" s="789"/>
    </row>
    <row r="6" spans="1:12" ht="15" customHeight="1" x14ac:dyDescent="0.25">
      <c r="A6" s="781"/>
      <c r="B6" s="790" t="s">
        <v>343</v>
      </c>
      <c r="C6" s="782"/>
      <c r="D6" s="790" t="s">
        <v>342</v>
      </c>
      <c r="E6" s="796">
        <f>'Input Data'!D12</f>
        <v>0</v>
      </c>
      <c r="F6" s="1133"/>
      <c r="G6" s="1133"/>
      <c r="H6" s="1133"/>
      <c r="I6" s="1133"/>
      <c r="J6" s="1133"/>
      <c r="K6" s="1133"/>
      <c r="L6" s="1134"/>
    </row>
    <row r="7" spans="1:12" x14ac:dyDescent="0.25">
      <c r="A7" s="781"/>
      <c r="B7" s="790"/>
      <c r="C7" s="782"/>
      <c r="D7" s="790"/>
      <c r="E7" s="1135"/>
      <c r="F7" s="1135"/>
      <c r="G7" s="1135"/>
      <c r="H7" s="1135"/>
      <c r="I7" s="1135"/>
      <c r="J7" s="1135"/>
      <c r="K7" s="1135"/>
      <c r="L7" s="1136"/>
    </row>
    <row r="8" spans="1:12" x14ac:dyDescent="0.25">
      <c r="A8" s="781"/>
      <c r="B8" s="790"/>
      <c r="C8" s="782"/>
      <c r="D8" s="790"/>
      <c r="E8" s="791"/>
      <c r="F8" s="792"/>
      <c r="G8" s="792"/>
      <c r="H8" s="792"/>
      <c r="I8" s="792"/>
      <c r="J8" s="792"/>
      <c r="K8" s="792"/>
      <c r="L8" s="793"/>
    </row>
    <row r="9" spans="1:12" x14ac:dyDescent="0.25">
      <c r="A9" s="781"/>
      <c r="B9" s="782"/>
      <c r="C9" s="782"/>
      <c r="D9" s="782"/>
      <c r="E9" s="794" t="s">
        <v>344</v>
      </c>
      <c r="F9" s="1238">
        <f>'Input Data'!D7</f>
        <v>0</v>
      </c>
      <c r="G9" s="795"/>
      <c r="H9" s="782"/>
      <c r="I9" s="795"/>
      <c r="J9" s="782"/>
      <c r="K9" s="795"/>
      <c r="L9" s="789"/>
    </row>
    <row r="10" spans="1:12" x14ac:dyDescent="0.25">
      <c r="A10" s="781"/>
      <c r="B10" s="782"/>
      <c r="C10" s="796"/>
      <c r="D10" s="782"/>
      <c r="E10" s="797"/>
      <c r="F10" s="798"/>
      <c r="G10" s="798"/>
      <c r="H10" s="798"/>
      <c r="I10" s="798"/>
      <c r="J10" s="798"/>
      <c r="K10" s="799"/>
      <c r="L10" s="800"/>
    </row>
    <row r="11" spans="1:12" x14ac:dyDescent="0.25">
      <c r="A11" s="781"/>
      <c r="B11" s="790" t="s">
        <v>345</v>
      </c>
      <c r="C11" s="782"/>
      <c r="D11" s="790" t="s">
        <v>342</v>
      </c>
      <c r="E11" s="796">
        <f>'Input Data'!D13</f>
        <v>0</v>
      </c>
      <c r="F11" s="1137"/>
      <c r="G11" s="1137"/>
      <c r="H11" s="1137"/>
      <c r="I11" s="1137"/>
      <c r="J11" s="1137"/>
      <c r="K11" s="1137"/>
      <c r="L11" s="1138"/>
    </row>
    <row r="12" spans="1:12" x14ac:dyDescent="0.25">
      <c r="A12" s="781"/>
      <c r="B12" s="790" t="s">
        <v>346</v>
      </c>
      <c r="C12" s="782"/>
      <c r="D12" s="782"/>
      <c r="E12" s="796">
        <f>'Input Data'!D14</f>
        <v>0</v>
      </c>
      <c r="F12" s="1219"/>
      <c r="G12" s="1219"/>
      <c r="H12" s="1219"/>
      <c r="I12" s="1219"/>
      <c r="J12" s="1219"/>
      <c r="K12" s="782" t="s">
        <v>347</v>
      </c>
      <c r="L12" s="1220">
        <f>'Input Data'!H14</f>
        <v>0</v>
      </c>
    </row>
    <row r="13" spans="1:12" x14ac:dyDescent="0.25">
      <c r="A13" s="781"/>
      <c r="B13" s="790" t="s">
        <v>348</v>
      </c>
      <c r="C13" s="782"/>
      <c r="D13" s="790" t="s">
        <v>342</v>
      </c>
      <c r="E13" s="796">
        <f>'Input Data'!D6</f>
        <v>0</v>
      </c>
      <c r="F13" s="799"/>
      <c r="G13" s="782"/>
      <c r="H13" s="786" t="s">
        <v>587</v>
      </c>
      <c r="I13" s="1218" t="s">
        <v>342</v>
      </c>
      <c r="J13" s="796">
        <f>'Input Data'!D30</f>
        <v>0</v>
      </c>
      <c r="K13" s="799"/>
      <c r="L13" s="785"/>
    </row>
    <row r="14" spans="1:12" x14ac:dyDescent="0.25">
      <c r="A14" s="781"/>
      <c r="B14" s="782"/>
      <c r="C14" s="782"/>
      <c r="D14" s="782"/>
      <c r="E14" s="782"/>
      <c r="F14" s="782"/>
      <c r="G14" s="782"/>
      <c r="H14" s="782"/>
      <c r="I14" s="782"/>
      <c r="J14" s="782"/>
      <c r="K14" s="782"/>
      <c r="L14" s="785"/>
    </row>
    <row r="15" spans="1:12" x14ac:dyDescent="0.25">
      <c r="A15" s="781"/>
      <c r="B15" s="790" t="s">
        <v>349</v>
      </c>
      <c r="C15" s="782"/>
      <c r="D15" s="790" t="s">
        <v>342</v>
      </c>
      <c r="E15" s="796">
        <f>'Input Data'!D18</f>
        <v>0</v>
      </c>
      <c r="F15" s="799"/>
      <c r="G15" s="782"/>
      <c r="H15" s="786" t="s">
        <v>350</v>
      </c>
      <c r="I15" s="1218" t="s">
        <v>342</v>
      </c>
      <c r="J15" s="796">
        <f>'Input Data'!D31</f>
        <v>0</v>
      </c>
      <c r="K15" s="798"/>
      <c r="L15" s="785"/>
    </row>
    <row r="16" spans="1:12" x14ac:dyDescent="0.25">
      <c r="A16" s="781"/>
      <c r="B16" s="790"/>
      <c r="C16" s="782"/>
      <c r="D16" s="790"/>
      <c r="E16" s="790"/>
      <c r="F16" s="782"/>
      <c r="G16" s="782"/>
      <c r="H16" s="790"/>
      <c r="I16" s="790"/>
      <c r="J16" s="790"/>
      <c r="K16" s="782"/>
      <c r="L16" s="801"/>
    </row>
    <row r="17" spans="1:12" ht="15.6" x14ac:dyDescent="0.3">
      <c r="A17" s="802"/>
      <c r="B17" s="790" t="s">
        <v>351</v>
      </c>
      <c r="C17" s="782"/>
      <c r="D17" s="782"/>
      <c r="E17" s="782"/>
      <c r="F17" s="782"/>
      <c r="G17" s="782"/>
      <c r="H17" s="782"/>
      <c r="I17" s="782"/>
      <c r="J17" s="782"/>
      <c r="K17" s="782"/>
      <c r="L17" s="803" t="s">
        <v>352</v>
      </c>
    </row>
    <row r="18" spans="1:12" x14ac:dyDescent="0.25">
      <c r="A18" s="1963" t="s">
        <v>353</v>
      </c>
      <c r="B18" s="782"/>
      <c r="C18" s="782"/>
      <c r="D18" s="782"/>
      <c r="E18" s="782"/>
      <c r="F18" s="804"/>
      <c r="G18" s="782"/>
      <c r="H18" s="782"/>
      <c r="I18" s="782"/>
      <c r="J18" s="782"/>
      <c r="K18" s="782"/>
      <c r="L18" s="805"/>
    </row>
    <row r="19" spans="1:12" x14ac:dyDescent="0.25">
      <c r="A19" s="1964"/>
      <c r="B19" s="790" t="s">
        <v>354</v>
      </c>
      <c r="C19" s="782"/>
      <c r="D19" s="790" t="s">
        <v>342</v>
      </c>
      <c r="E19" s="804" t="s">
        <v>355</v>
      </c>
      <c r="F19" s="804"/>
      <c r="G19" s="782"/>
      <c r="H19" s="782" t="s">
        <v>356</v>
      </c>
      <c r="I19" s="782"/>
      <c r="J19" s="782"/>
      <c r="K19" s="782"/>
      <c r="L19" s="806">
        <f>IF('Input Data'!E10="E",'Tax Invoice Engineering Project'!O53-'Tax Invoice Engineering Project'!B88,'Tax Invoice Multidiscpl Project'!O42-'Tax Invoice Multidiscpl Project'!B76)</f>
        <v>78776.25</v>
      </c>
    </row>
    <row r="20" spans="1:12" x14ac:dyDescent="0.25">
      <c r="A20" s="1964"/>
      <c r="B20" s="782"/>
      <c r="C20" s="782"/>
      <c r="D20" s="782"/>
      <c r="E20" s="782"/>
      <c r="F20" s="782"/>
      <c r="G20" s="782"/>
      <c r="H20" s="807" t="s">
        <v>357</v>
      </c>
      <c r="I20" s="782"/>
      <c r="J20" s="807"/>
      <c r="K20" s="782"/>
      <c r="L20" s="808">
        <f>-'Input Data'!F11*'Input Data'!H11</f>
        <v>0</v>
      </c>
    </row>
    <row r="21" spans="1:12" x14ac:dyDescent="0.25">
      <c r="A21" s="1965"/>
      <c r="B21" s="782"/>
      <c r="C21" s="782"/>
      <c r="D21" s="782"/>
      <c r="E21" s="782"/>
      <c r="F21" s="782"/>
      <c r="G21" s="782"/>
      <c r="H21" s="1966" t="s">
        <v>358</v>
      </c>
      <c r="I21" s="782"/>
      <c r="J21" s="1966" t="s">
        <v>359</v>
      </c>
      <c r="K21" s="782"/>
      <c r="L21" s="809"/>
    </row>
    <row r="22" spans="1:12" x14ac:dyDescent="0.25">
      <c r="A22" s="810" t="s">
        <v>360</v>
      </c>
      <c r="B22" s="790" t="s">
        <v>361</v>
      </c>
      <c r="C22" s="782"/>
      <c r="D22" s="790" t="s">
        <v>342</v>
      </c>
      <c r="E22" s="804"/>
      <c r="F22" s="782"/>
      <c r="G22" s="782"/>
      <c r="H22" s="1967"/>
      <c r="I22" s="782"/>
      <c r="J22" s="1967"/>
      <c r="K22" s="782"/>
      <c r="L22" s="806"/>
    </row>
    <row r="23" spans="1:12" x14ac:dyDescent="0.25">
      <c r="A23" s="811"/>
      <c r="B23" s="790"/>
      <c r="C23" s="782" t="s">
        <v>362</v>
      </c>
      <c r="D23" s="782"/>
      <c r="E23" s="782"/>
      <c r="F23" s="782"/>
      <c r="G23" s="782"/>
      <c r="H23" s="813">
        <f>IF('Input Data'!E10="b",0,'Time Based'!I22)</f>
        <v>0</v>
      </c>
      <c r="I23" s="1197"/>
      <c r="J23" s="813">
        <f>IF('Input Data'!E10="b",0,H23-'Time Based'!I23)</f>
        <v>0</v>
      </c>
      <c r="K23" s="782"/>
      <c r="L23" s="814"/>
    </row>
    <row r="24" spans="1:12" x14ac:dyDescent="0.25">
      <c r="A24" s="811"/>
      <c r="B24" s="790"/>
      <c r="C24" s="782" t="s">
        <v>363</v>
      </c>
      <c r="D24" s="790"/>
      <c r="E24" s="782"/>
      <c r="F24" s="782"/>
      <c r="G24" s="782"/>
      <c r="H24" s="1196">
        <f>IF('Input Data'!H47&gt;0,0,'Time Based'!I37)</f>
        <v>0</v>
      </c>
      <c r="I24" s="1197"/>
      <c r="J24" s="1196">
        <f>IF('Input Data'!H47&gt;0,0,H24-'Time Based'!I38)</f>
        <v>0</v>
      </c>
      <c r="K24" s="782"/>
      <c r="L24" s="814"/>
    </row>
    <row r="25" spans="1:12" x14ac:dyDescent="0.25">
      <c r="A25" s="811"/>
      <c r="B25" s="782"/>
      <c r="C25" s="782" t="s">
        <v>364</v>
      </c>
      <c r="D25" s="790"/>
      <c r="E25" s="782"/>
      <c r="F25" s="782"/>
      <c r="G25" s="782"/>
      <c r="H25" s="1198">
        <f>'Time Based'!I52</f>
        <v>0</v>
      </c>
      <c r="I25" s="1197"/>
      <c r="J25" s="1198">
        <f>H25-'Time Based'!I53</f>
        <v>0</v>
      </c>
      <c r="K25" s="782"/>
      <c r="L25" s="809"/>
    </row>
    <row r="26" spans="1:12" x14ac:dyDescent="0.25">
      <c r="A26" s="811"/>
      <c r="B26" s="782"/>
      <c r="C26" s="782" t="s">
        <v>365</v>
      </c>
      <c r="D26" s="804"/>
      <c r="E26" s="782"/>
      <c r="F26" s="782"/>
      <c r="G26" s="782"/>
      <c r="H26" s="1198">
        <f>'Time Based'!I66</f>
        <v>0</v>
      </c>
      <c r="I26" s="1197"/>
      <c r="J26" s="1198">
        <f>H26-'Time Based'!I67</f>
        <v>0</v>
      </c>
      <c r="K26" s="782"/>
      <c r="L26" s="809"/>
    </row>
    <row r="27" spans="1:12" x14ac:dyDescent="0.25">
      <c r="A27" s="811"/>
      <c r="B27" s="600"/>
      <c r="C27" s="804"/>
      <c r="D27" s="600"/>
      <c r="E27" s="600"/>
      <c r="F27" s="600"/>
      <c r="G27" s="600"/>
      <c r="H27" s="1198"/>
      <c r="I27" s="1197"/>
      <c r="J27" s="1198"/>
      <c r="K27" s="782"/>
      <c r="L27" s="814"/>
    </row>
    <row r="28" spans="1:12" ht="15.6" thickBot="1" x14ac:dyDescent="0.3">
      <c r="A28" s="811"/>
      <c r="B28" s="790" t="s">
        <v>366</v>
      </c>
      <c r="C28" s="782" t="s">
        <v>367</v>
      </c>
      <c r="D28" s="782"/>
      <c r="E28" s="782"/>
      <c r="F28" s="782"/>
      <c r="G28" s="782"/>
      <c r="H28" s="1199">
        <v>0</v>
      </c>
      <c r="I28" s="1197"/>
      <c r="J28" s="1200">
        <f>H28</f>
        <v>0</v>
      </c>
      <c r="K28" s="782"/>
      <c r="L28" s="809"/>
    </row>
    <row r="29" spans="1:12" ht="15.6" thickBot="1" x14ac:dyDescent="0.3">
      <c r="A29" s="811"/>
      <c r="B29" s="782"/>
      <c r="C29" s="782"/>
      <c r="D29" s="790"/>
      <c r="E29" s="782"/>
      <c r="F29" s="782"/>
      <c r="G29" s="815" t="s">
        <v>368</v>
      </c>
      <c r="H29" s="1201">
        <f>SUM(H22:H28)</f>
        <v>0</v>
      </c>
      <c r="I29" s="1197"/>
      <c r="J29" s="1202">
        <f>SUM(J22:J28)</f>
        <v>0</v>
      </c>
      <c r="K29" s="782"/>
      <c r="L29" s="806">
        <f>J29</f>
        <v>0</v>
      </c>
    </row>
    <row r="30" spans="1:12" x14ac:dyDescent="0.25">
      <c r="A30" s="811"/>
      <c r="B30" s="782"/>
      <c r="C30" s="782"/>
      <c r="D30" s="782"/>
      <c r="E30" s="782"/>
      <c r="F30" s="782"/>
      <c r="G30" s="782"/>
      <c r="H30" s="1197"/>
      <c r="I30" s="1197"/>
      <c r="J30" s="1203"/>
      <c r="K30" s="782"/>
      <c r="L30" s="809"/>
    </row>
    <row r="31" spans="1:12" x14ac:dyDescent="0.25">
      <c r="A31" s="811"/>
      <c r="B31" s="782"/>
      <c r="C31" s="782"/>
      <c r="D31" s="782"/>
      <c r="E31" s="782"/>
      <c r="F31" s="782"/>
      <c r="G31" s="782"/>
      <c r="H31" s="1970" t="s">
        <v>369</v>
      </c>
      <c r="I31" s="1971"/>
      <c r="J31" s="1972"/>
      <c r="K31" s="782"/>
      <c r="L31" s="809"/>
    </row>
    <row r="32" spans="1:12" x14ac:dyDescent="0.25">
      <c r="A32" s="811"/>
      <c r="B32" s="790" t="s">
        <v>370</v>
      </c>
      <c r="C32" s="782"/>
      <c r="D32" s="782"/>
      <c r="E32" s="782"/>
      <c r="F32" s="782"/>
      <c r="G32" s="782"/>
      <c r="H32" s="1973" t="s">
        <v>358</v>
      </c>
      <c r="I32" s="1204"/>
      <c r="J32" s="1973" t="s">
        <v>359</v>
      </c>
      <c r="K32" s="782"/>
      <c r="L32" s="809"/>
    </row>
    <row r="33" spans="1:14" x14ac:dyDescent="0.25">
      <c r="A33" s="811"/>
      <c r="B33" s="782"/>
      <c r="C33" s="782"/>
      <c r="D33" s="782"/>
      <c r="E33" s="782"/>
      <c r="F33" s="782"/>
      <c r="G33" s="782"/>
      <c r="H33" s="1974"/>
      <c r="I33" s="1205"/>
      <c r="J33" s="1974"/>
      <c r="K33" s="782"/>
      <c r="L33" s="809"/>
    </row>
    <row r="34" spans="1:14" x14ac:dyDescent="0.25">
      <c r="A34" s="810" t="s">
        <v>371</v>
      </c>
      <c r="B34" s="790" t="s">
        <v>372</v>
      </c>
      <c r="C34" s="782"/>
      <c r="D34" s="790" t="s">
        <v>342</v>
      </c>
      <c r="E34" s="1219"/>
      <c r="F34" s="1216"/>
      <c r="G34" s="1217"/>
      <c r="H34" s="1196">
        <f>'Subsistance &amp; Travelling'!O86</f>
        <v>0</v>
      </c>
      <c r="I34" s="1206"/>
      <c r="J34" s="1196">
        <f>H34-'Subsistance &amp; Travelling'!O87</f>
        <v>0</v>
      </c>
      <c r="K34" s="782"/>
      <c r="L34" s="814"/>
    </row>
    <row r="35" spans="1:14" x14ac:dyDescent="0.25">
      <c r="A35" s="810"/>
      <c r="B35" s="790" t="s">
        <v>223</v>
      </c>
      <c r="C35" s="804"/>
      <c r="D35" s="817"/>
      <c r="E35" s="804"/>
      <c r="F35" s="1975"/>
      <c r="G35" s="1976"/>
      <c r="H35" s="1199"/>
      <c r="I35" s="1206"/>
      <c r="J35" s="1199"/>
      <c r="K35" s="782"/>
      <c r="L35" s="809"/>
    </row>
    <row r="36" spans="1:14" x14ac:dyDescent="0.25">
      <c r="A36" s="810" t="s">
        <v>373</v>
      </c>
      <c r="B36" s="790" t="s">
        <v>374</v>
      </c>
      <c r="C36" s="804"/>
      <c r="D36" s="817"/>
      <c r="E36" s="804"/>
      <c r="F36" s="1975"/>
      <c r="G36" s="1976"/>
      <c r="H36" s="1196">
        <f>'Typing, Duplicating, &amp; Printing'!J63</f>
        <v>0</v>
      </c>
      <c r="I36" s="1206"/>
      <c r="J36" s="1196">
        <f>H36-'Typing, Duplicating, &amp; Printing'!J64</f>
        <v>0</v>
      </c>
      <c r="K36" s="782"/>
      <c r="L36" s="809"/>
    </row>
    <row r="37" spans="1:14" ht="15.6" thickBot="1" x14ac:dyDescent="0.3">
      <c r="A37" s="810"/>
      <c r="B37" s="782"/>
      <c r="C37" s="804"/>
      <c r="D37" s="804"/>
      <c r="E37" s="804"/>
      <c r="F37" s="804"/>
      <c r="G37" s="804"/>
      <c r="H37" s="1199"/>
      <c r="I37" s="1206"/>
      <c r="J37" s="1199"/>
      <c r="K37" s="782"/>
      <c r="L37" s="809"/>
    </row>
    <row r="38" spans="1:14" ht="15.6" thickBot="1" x14ac:dyDescent="0.3">
      <c r="A38" s="811"/>
      <c r="B38" s="782"/>
      <c r="C38" s="1977" t="s">
        <v>375</v>
      </c>
      <c r="D38" s="1977"/>
      <c r="E38" s="1977"/>
      <c r="F38" s="1977"/>
      <c r="G38" s="1977"/>
      <c r="H38" s="1201">
        <f>SUM(H34:H37)</f>
        <v>0</v>
      </c>
      <c r="I38" s="1197"/>
      <c r="J38" s="1207">
        <f>SUM(J34:J37)</f>
        <v>0</v>
      </c>
      <c r="K38" s="782"/>
      <c r="L38" s="806">
        <f>J38</f>
        <v>0</v>
      </c>
    </row>
    <row r="39" spans="1:14" x14ac:dyDescent="0.25">
      <c r="A39" s="818"/>
      <c r="B39" s="782"/>
      <c r="C39" s="804"/>
      <c r="D39" s="804"/>
      <c r="E39" s="804"/>
      <c r="F39" s="804"/>
      <c r="G39" s="804"/>
      <c r="H39" s="1197"/>
      <c r="I39" s="1197"/>
      <c r="J39" s="1208"/>
      <c r="K39" s="782"/>
      <c r="L39" s="809"/>
    </row>
    <row r="40" spans="1:14" x14ac:dyDescent="0.25">
      <c r="A40" s="818"/>
      <c r="B40" s="790" t="s">
        <v>376</v>
      </c>
      <c r="C40" s="804"/>
      <c r="D40" s="804"/>
      <c r="E40" s="804"/>
      <c r="F40" s="804"/>
      <c r="G40" s="804"/>
      <c r="H40" s="1970" t="s">
        <v>377</v>
      </c>
      <c r="I40" s="1971"/>
      <c r="J40" s="1972"/>
      <c r="K40" s="782"/>
      <c r="L40" s="809"/>
    </row>
    <row r="41" spans="1:14" x14ac:dyDescent="0.25">
      <c r="A41" s="818"/>
      <c r="B41" s="782"/>
      <c r="C41" s="804"/>
      <c r="D41" s="804"/>
      <c r="E41" s="804"/>
      <c r="F41" s="804"/>
      <c r="G41" s="804"/>
      <c r="H41" s="1973" t="s">
        <v>358</v>
      </c>
      <c r="I41" s="1204"/>
      <c r="J41" s="1973" t="s">
        <v>359</v>
      </c>
      <c r="K41" s="782"/>
      <c r="L41" s="809"/>
    </row>
    <row r="42" spans="1:14" x14ac:dyDescent="0.25">
      <c r="A42" s="818"/>
      <c r="B42" s="782"/>
      <c r="C42" s="804"/>
      <c r="D42" s="804"/>
      <c r="E42" s="804"/>
      <c r="F42" s="804"/>
      <c r="G42" s="804"/>
      <c r="H42" s="1974"/>
      <c r="I42" s="1205"/>
      <c r="J42" s="1974"/>
      <c r="K42" s="782"/>
      <c r="L42" s="809"/>
    </row>
    <row r="43" spans="1:14" x14ac:dyDescent="0.25">
      <c r="A43" s="810" t="s">
        <v>378</v>
      </c>
      <c r="B43" s="790" t="s">
        <v>379</v>
      </c>
      <c r="C43" s="804"/>
      <c r="D43" s="817"/>
      <c r="E43" s="804"/>
      <c r="F43" s="1975"/>
      <c r="G43" s="1976"/>
      <c r="H43" s="813">
        <f>'Site staff &amp; Other'!I49</f>
        <v>0</v>
      </c>
      <c r="I43" s="1197"/>
      <c r="J43" s="813">
        <f>H43-'Site staff &amp; Other'!I50</f>
        <v>0</v>
      </c>
      <c r="K43" s="782"/>
      <c r="L43" s="809"/>
    </row>
    <row r="44" spans="1:14" x14ac:dyDescent="0.25">
      <c r="A44" s="810"/>
      <c r="B44" s="782"/>
      <c r="C44" s="804"/>
      <c r="D44" s="804"/>
      <c r="E44" s="804"/>
      <c r="F44" s="804"/>
      <c r="G44" s="819"/>
      <c r="H44" s="1199"/>
      <c r="I44" s="1197"/>
      <c r="J44" s="1199"/>
      <c r="K44" s="782"/>
      <c r="L44" s="809"/>
    </row>
    <row r="45" spans="1:14" x14ac:dyDescent="0.25">
      <c r="A45" s="810" t="s">
        <v>378</v>
      </c>
      <c r="B45" s="790" t="s">
        <v>380</v>
      </c>
      <c r="C45" s="804"/>
      <c r="D45" s="817"/>
      <c r="E45" s="804"/>
      <c r="F45" s="1216"/>
      <c r="G45" s="1217"/>
      <c r="H45" s="1196">
        <f>'Site staff &amp; Other'!I64</f>
        <v>0</v>
      </c>
      <c r="I45" s="1197"/>
      <c r="J45" s="1196">
        <f>H45-'Site staff &amp; Other'!I65</f>
        <v>0</v>
      </c>
      <c r="K45" s="782"/>
      <c r="L45" s="809"/>
    </row>
    <row r="46" spans="1:14" ht="15.6" thickBot="1" x14ac:dyDescent="0.3">
      <c r="A46" s="810"/>
      <c r="B46" s="782"/>
      <c r="C46" s="804"/>
      <c r="D46" s="804"/>
      <c r="E46" s="804"/>
      <c r="F46" s="804"/>
      <c r="G46" s="819"/>
      <c r="H46" s="1199"/>
      <c r="I46" s="1197"/>
      <c r="J46" s="1199"/>
      <c r="K46" s="782"/>
      <c r="L46" s="809"/>
    </row>
    <row r="47" spans="1:14" ht="15.6" thickBot="1" x14ac:dyDescent="0.3">
      <c r="A47" s="818"/>
      <c r="B47" s="1978" t="s">
        <v>381</v>
      </c>
      <c r="C47" s="1979"/>
      <c r="D47" s="1979"/>
      <c r="E47" s="1979"/>
      <c r="F47" s="1979"/>
      <c r="G47" s="1979"/>
      <c r="H47" s="1209">
        <f>SUM(H43:H46)</f>
        <v>0</v>
      </c>
      <c r="I47" s="1197"/>
      <c r="J47" s="1207">
        <f>SUM(J43:J46)</f>
        <v>0</v>
      </c>
      <c r="K47" s="782"/>
      <c r="L47" s="806">
        <f>J47</f>
        <v>0</v>
      </c>
      <c r="N47" s="286"/>
    </row>
    <row r="48" spans="1:14" x14ac:dyDescent="0.25">
      <c r="A48" s="818"/>
      <c r="B48" s="782"/>
      <c r="C48" s="782"/>
      <c r="D48" s="782"/>
      <c r="E48" s="782"/>
      <c r="F48" s="782"/>
      <c r="G48" s="782"/>
      <c r="H48" s="1197"/>
      <c r="I48" s="1197"/>
      <c r="J48" s="1197"/>
      <c r="K48" s="782"/>
      <c r="L48" s="809"/>
      <c r="N48" s="286"/>
    </row>
    <row r="49" spans="1:14" ht="15.6" thickBot="1" x14ac:dyDescent="0.3">
      <c r="A49" s="810" t="s">
        <v>382</v>
      </c>
      <c r="B49" s="820" t="s">
        <v>223</v>
      </c>
      <c r="C49" s="821"/>
      <c r="D49" s="821"/>
      <c r="E49" s="821"/>
      <c r="F49" s="285"/>
      <c r="G49" s="787" t="s">
        <v>383</v>
      </c>
      <c r="H49" s="1210">
        <f>'Non Taxable'!J19</f>
        <v>0</v>
      </c>
      <c r="I49" s="1197"/>
      <c r="J49" s="1211">
        <f>H49-'Non Taxable'!J20</f>
        <v>0</v>
      </c>
      <c r="K49" s="782"/>
      <c r="L49" s="822">
        <f>J49</f>
        <v>0</v>
      </c>
      <c r="N49" s="286"/>
    </row>
    <row r="50" spans="1:14" ht="15.6" thickBot="1" x14ac:dyDescent="0.3">
      <c r="A50" s="818"/>
      <c r="B50" s="821"/>
      <c r="C50" s="823"/>
      <c r="D50" s="786"/>
      <c r="E50" s="786"/>
      <c r="F50" s="285"/>
      <c r="G50" s="786" t="s">
        <v>384</v>
      </c>
      <c r="H50" s="1212">
        <f>SUM(H23:H28)+SUM(H34:H36)+SUM(H43:H45)+H49</f>
        <v>0</v>
      </c>
      <c r="I50" s="1197"/>
      <c r="J50" s="1212">
        <f>SUM(J23:J28)+SUM(J34:J36)+SUM(J43:J45)+J49</f>
        <v>0</v>
      </c>
      <c r="K50" s="782"/>
      <c r="L50" s="809"/>
      <c r="N50" s="286"/>
    </row>
    <row r="51" spans="1:14" x14ac:dyDescent="0.25">
      <c r="A51" s="818"/>
      <c r="B51" s="823"/>
      <c r="C51" s="823"/>
      <c r="D51" s="823"/>
      <c r="E51" s="782"/>
      <c r="F51" s="782"/>
      <c r="G51" s="782"/>
      <c r="H51" s="782"/>
      <c r="I51" s="782"/>
      <c r="J51" s="782"/>
      <c r="K51" s="782"/>
      <c r="L51" s="814"/>
      <c r="N51" s="286"/>
    </row>
    <row r="52" spans="1:14" x14ac:dyDescent="0.25">
      <c r="A52" s="818"/>
      <c r="B52" s="824"/>
      <c r="C52" s="824"/>
      <c r="D52" s="824"/>
      <c r="E52" s="825"/>
      <c r="F52" s="826"/>
      <c r="G52" s="826"/>
      <c r="H52" s="826"/>
      <c r="I52" s="826"/>
      <c r="J52" s="826"/>
      <c r="K52" s="826"/>
      <c r="L52" s="805"/>
      <c r="N52" s="1195"/>
    </row>
    <row r="53" spans="1:14" x14ac:dyDescent="0.25">
      <c r="A53" s="818"/>
      <c r="B53" s="804"/>
      <c r="C53" s="804"/>
      <c r="D53" s="804"/>
      <c r="E53" s="827" t="s">
        <v>385</v>
      </c>
      <c r="F53" s="782"/>
      <c r="G53" s="782"/>
      <c r="H53" s="782"/>
      <c r="I53" s="782"/>
      <c r="J53" s="782"/>
      <c r="K53" s="782"/>
      <c r="L53" s="828">
        <f>SUM(L18:L47)</f>
        <v>78776.25</v>
      </c>
      <c r="N53" s="286"/>
    </row>
    <row r="54" spans="1:14" x14ac:dyDescent="0.25">
      <c r="A54" s="818"/>
      <c r="B54" s="804"/>
      <c r="C54" s="804"/>
      <c r="D54" s="804"/>
      <c r="E54" s="827" t="s">
        <v>386</v>
      </c>
      <c r="F54" s="829">
        <f>IF('Input Data'!D28&lt;43191,14%,15%)</f>
        <v>0.14000000000000001</v>
      </c>
      <c r="G54" s="782" t="s">
        <v>387</v>
      </c>
      <c r="H54" s="830">
        <f>L53</f>
        <v>78776.25</v>
      </c>
      <c r="I54" s="782"/>
      <c r="J54" s="782"/>
      <c r="K54" s="782"/>
      <c r="L54" s="814">
        <f>F54*L53</f>
        <v>11028.675000000001</v>
      </c>
      <c r="N54" s="286"/>
    </row>
    <row r="55" spans="1:14" ht="15.6" thickBot="1" x14ac:dyDescent="0.3">
      <c r="A55" s="818"/>
      <c r="B55" s="804"/>
      <c r="C55" s="804"/>
      <c r="D55" s="804"/>
      <c r="E55" s="816" t="s">
        <v>388</v>
      </c>
      <c r="F55" s="782"/>
      <c r="G55" s="782"/>
      <c r="H55" s="782"/>
      <c r="I55" s="782"/>
      <c r="J55" s="782"/>
      <c r="K55" s="782"/>
      <c r="L55" s="831">
        <f>L49</f>
        <v>0</v>
      </c>
      <c r="N55" s="286"/>
    </row>
    <row r="56" spans="1:14" ht="15.6" thickBot="1" x14ac:dyDescent="0.3">
      <c r="A56" s="818"/>
      <c r="B56" s="832"/>
      <c r="C56" s="832"/>
      <c r="D56" s="832"/>
      <c r="E56" s="1968" t="s">
        <v>389</v>
      </c>
      <c r="F56" s="1969"/>
      <c r="G56" s="1969"/>
      <c r="H56" s="1969"/>
      <c r="I56" s="807"/>
      <c r="J56" s="807"/>
      <c r="K56" s="807"/>
      <c r="L56" s="833">
        <f>L53+L54+L55</f>
        <v>89804.925000000003</v>
      </c>
      <c r="N56" s="286"/>
    </row>
    <row r="57" spans="1:14" ht="15.6" thickBot="1" x14ac:dyDescent="0.3">
      <c r="A57" s="834"/>
      <c r="B57" s="835" t="s">
        <v>390</v>
      </c>
      <c r="C57" s="836"/>
      <c r="D57" s="836"/>
      <c r="E57" s="836"/>
      <c r="F57" s="836"/>
      <c r="G57" s="836"/>
      <c r="H57" s="836"/>
      <c r="I57" s="836"/>
      <c r="J57" s="836"/>
      <c r="K57" s="836"/>
      <c r="L57" s="837"/>
      <c r="N57" s="286"/>
    </row>
    <row r="58" spans="1:14" ht="15.6" thickTop="1" x14ac:dyDescent="0.25"/>
  </sheetData>
  <sheetProtection algorithmName="SHA-512" hashValue="x3M9ESnLXs5/X877M8Ipgy6eH100C3BLMy8JsW/qvradJmLMsI6A0UcAcdc76OXAe4fdD9xFg2+djAinrkwyzg==" saltValue="m1ZB0sobV6r0PErOsoBpiw==" spinCount="100000" sheet="1" objects="1" scenarios="1" formatCells="0" formatColumns="0" formatRows="0"/>
  <mergeCells count="15">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K72"/>
  <sheetViews>
    <sheetView topLeftCell="A45" zoomScale="75" zoomScaleNormal="75" zoomScaleSheetLayoutView="75" workbookViewId="0">
      <selection activeCell="H12" sqref="H12"/>
    </sheetView>
  </sheetViews>
  <sheetFormatPr defaultRowHeight="15" x14ac:dyDescent="0.25"/>
  <cols>
    <col min="1" max="1" width="5.58203125" customWidth="1"/>
    <col min="2" max="2" width="8.6640625" customWidth="1"/>
    <col min="3" max="3" width="11.6640625" customWidth="1"/>
    <col min="4" max="4" width="15.33203125" customWidth="1"/>
    <col min="5" max="5" width="7.9140625" customWidth="1"/>
    <col min="6" max="6" width="28.08203125" customWidth="1"/>
    <col min="7" max="7" width="9.25" customWidth="1"/>
    <col min="8" max="8" width="7.6640625" customWidth="1"/>
    <col min="9" max="9" width="12.08203125" customWidth="1"/>
    <col min="11" max="11" width="16.58203125" bestFit="1" customWidth="1"/>
  </cols>
  <sheetData>
    <row r="1" spans="1:9" ht="18" thickTop="1" x14ac:dyDescent="0.25">
      <c r="A1" s="893" t="s">
        <v>31</v>
      </c>
      <c r="B1" s="894"/>
      <c r="C1" s="895"/>
      <c r="D1" s="895"/>
      <c r="E1" s="895"/>
      <c r="F1" s="895"/>
      <c r="G1" s="895"/>
      <c r="H1" s="895"/>
      <c r="I1" s="1041"/>
    </row>
    <row r="2" spans="1:9" ht="15.6" x14ac:dyDescent="0.25">
      <c r="A2" s="873" t="s">
        <v>158</v>
      </c>
      <c r="B2" s="768"/>
      <c r="C2" s="184"/>
      <c r="D2" s="184"/>
      <c r="E2" s="600"/>
      <c r="F2" s="600"/>
      <c r="G2" s="600"/>
      <c r="H2" s="184"/>
      <c r="I2" s="1042" t="s">
        <v>159</v>
      </c>
    </row>
    <row r="3" spans="1:9" x14ac:dyDescent="0.25">
      <c r="A3" s="185"/>
      <c r="B3" s="186" t="s">
        <v>521</v>
      </c>
      <c r="C3" s="1076">
        <f>'Input Data'!D29</f>
        <v>0</v>
      </c>
      <c r="D3" s="1132" t="s">
        <v>585</v>
      </c>
      <c r="E3" s="1240">
        <f>'Input Data'!D8</f>
        <v>0</v>
      </c>
      <c r="G3" s="186" t="s">
        <v>584</v>
      </c>
      <c r="H3" s="770">
        <f>'Input Data'!D7</f>
        <v>0</v>
      </c>
      <c r="I3" s="1043"/>
    </row>
    <row r="4" spans="1:9" x14ac:dyDescent="0.25">
      <c r="A4" s="1044" t="s">
        <v>32</v>
      </c>
      <c r="B4" s="188"/>
      <c r="C4" s="187" t="s">
        <v>4</v>
      </c>
      <c r="D4" s="184" t="s">
        <v>33</v>
      </c>
      <c r="E4" s="188" t="s">
        <v>32</v>
      </c>
      <c r="F4" s="187" t="s">
        <v>4</v>
      </c>
      <c r="G4" s="184" t="s">
        <v>33</v>
      </c>
      <c r="H4" s="184"/>
      <c r="I4" s="1043"/>
    </row>
    <row r="5" spans="1:9" x14ac:dyDescent="0.25">
      <c r="A5" s="189" t="s">
        <v>34</v>
      </c>
      <c r="B5" s="186"/>
      <c r="C5" s="190"/>
      <c r="D5" s="190"/>
      <c r="E5" s="186" t="s">
        <v>35</v>
      </c>
      <c r="F5" s="190"/>
      <c r="G5" s="1980"/>
      <c r="H5" s="1981"/>
      <c r="I5" s="1982"/>
    </row>
    <row r="6" spans="1:9" x14ac:dyDescent="0.25">
      <c r="A6" s="189" t="s">
        <v>36</v>
      </c>
      <c r="B6" s="186"/>
      <c r="C6" s="190"/>
      <c r="D6" s="190"/>
      <c r="E6" s="186" t="s">
        <v>37</v>
      </c>
      <c r="F6" s="191"/>
      <c r="G6" s="1980"/>
      <c r="H6" s="1981"/>
      <c r="I6" s="1982"/>
    </row>
    <row r="7" spans="1:9" x14ac:dyDescent="0.25">
      <c r="A7" s="189" t="s">
        <v>38</v>
      </c>
      <c r="B7" s="186"/>
      <c r="C7" s="191"/>
      <c r="D7" s="190"/>
      <c r="E7" s="186" t="s">
        <v>39</v>
      </c>
      <c r="F7" s="191"/>
      <c r="G7" s="1980"/>
      <c r="H7" s="1981"/>
      <c r="I7" s="1982"/>
    </row>
    <row r="8" spans="1:9" ht="15.6" thickBot="1" x14ac:dyDescent="0.3">
      <c r="A8" s="192"/>
      <c r="B8" s="193"/>
      <c r="C8" s="193"/>
      <c r="D8" s="193"/>
      <c r="E8" s="193"/>
      <c r="F8" s="193"/>
      <c r="G8" s="193"/>
      <c r="H8" s="193"/>
      <c r="I8" s="194"/>
    </row>
    <row r="9" spans="1:9" ht="16.2" thickTop="1" thickBot="1" x14ac:dyDescent="0.3">
      <c r="A9" s="1045"/>
      <c r="B9" s="1046"/>
      <c r="C9" s="1046"/>
      <c r="D9" s="1046"/>
      <c r="E9" s="1046"/>
      <c r="F9" s="1046"/>
      <c r="G9" s="1046"/>
      <c r="H9" s="1046"/>
      <c r="I9" s="1047"/>
    </row>
    <row r="10" spans="1:9" ht="15.6" thickTop="1" x14ac:dyDescent="0.25">
      <c r="A10" s="1048" t="s">
        <v>595</v>
      </c>
      <c r="B10" s="870"/>
      <c r="C10" s="1049"/>
      <c r="D10" s="1049"/>
      <c r="E10" s="1049"/>
      <c r="F10" s="1049"/>
      <c r="G10" s="1049"/>
      <c r="H10" s="1050"/>
      <c r="I10" s="1051"/>
    </row>
    <row r="11" spans="1:9" ht="27.6" x14ac:dyDescent="0.25">
      <c r="A11" s="867" t="s">
        <v>520</v>
      </c>
      <c r="B11" s="660" t="s">
        <v>4</v>
      </c>
      <c r="C11" s="639" t="s">
        <v>40</v>
      </c>
      <c r="D11" s="640" t="s">
        <v>25</v>
      </c>
      <c r="E11" s="640" t="s">
        <v>41</v>
      </c>
      <c r="F11" s="641" t="s">
        <v>42</v>
      </c>
      <c r="G11" s="640" t="s">
        <v>9</v>
      </c>
      <c r="H11" s="640" t="s">
        <v>313</v>
      </c>
      <c r="I11" s="643" t="s">
        <v>43</v>
      </c>
    </row>
    <row r="12" spans="1:9" x14ac:dyDescent="0.25">
      <c r="A12" s="1052"/>
      <c r="B12" s="1053"/>
      <c r="C12" s="1054"/>
      <c r="D12" s="1055"/>
      <c r="E12" s="1055"/>
      <c r="F12" s="1055"/>
      <c r="G12" s="1055"/>
      <c r="H12" s="1056"/>
      <c r="I12" s="915">
        <f t="shared" ref="I12:I21" si="0">G12*H12</f>
        <v>0</v>
      </c>
    </row>
    <row r="13" spans="1:9" x14ac:dyDescent="0.25">
      <c r="A13" s="199"/>
      <c r="B13" s="864"/>
      <c r="C13" s="200"/>
      <c r="D13" s="201"/>
      <c r="E13" s="201"/>
      <c r="F13" s="201"/>
      <c r="G13" s="201"/>
      <c r="H13" s="645"/>
      <c r="I13" s="918">
        <f t="shared" si="0"/>
        <v>0</v>
      </c>
    </row>
    <row r="14" spans="1:9" x14ac:dyDescent="0.25">
      <c r="A14" s="202"/>
      <c r="B14" s="865"/>
      <c r="C14" s="200"/>
      <c r="D14" s="201"/>
      <c r="E14" s="201"/>
      <c r="F14" s="201"/>
      <c r="G14" s="201"/>
      <c r="H14" s="645"/>
      <c r="I14" s="918">
        <f t="shared" si="0"/>
        <v>0</v>
      </c>
    </row>
    <row r="15" spans="1:9" x14ac:dyDescent="0.25">
      <c r="A15" s="202"/>
      <c r="B15" s="865"/>
      <c r="C15" s="200"/>
      <c r="D15" s="201"/>
      <c r="E15" s="201"/>
      <c r="F15" s="201"/>
      <c r="G15" s="201"/>
      <c r="H15" s="645"/>
      <c r="I15" s="918">
        <f t="shared" si="0"/>
        <v>0</v>
      </c>
    </row>
    <row r="16" spans="1:9" x14ac:dyDescent="0.25">
      <c r="A16" s="202"/>
      <c r="B16" s="865"/>
      <c r="C16" s="200"/>
      <c r="D16" s="201"/>
      <c r="E16" s="201"/>
      <c r="F16" s="201"/>
      <c r="G16" s="201"/>
      <c r="H16" s="645"/>
      <c r="I16" s="918">
        <f t="shared" si="0"/>
        <v>0</v>
      </c>
    </row>
    <row r="17" spans="1:9" x14ac:dyDescent="0.25">
      <c r="A17" s="202"/>
      <c r="B17" s="865"/>
      <c r="C17" s="200"/>
      <c r="D17" s="201"/>
      <c r="E17" s="201"/>
      <c r="F17" s="201"/>
      <c r="G17" s="201"/>
      <c r="H17" s="645"/>
      <c r="I17" s="918">
        <f t="shared" si="0"/>
        <v>0</v>
      </c>
    </row>
    <row r="18" spans="1:9" x14ac:dyDescent="0.25">
      <c r="A18" s="202"/>
      <c r="B18" s="865"/>
      <c r="C18" s="200"/>
      <c r="D18" s="201"/>
      <c r="E18" s="201"/>
      <c r="F18" s="201"/>
      <c r="G18" s="201"/>
      <c r="H18" s="645"/>
      <c r="I18" s="918">
        <f t="shared" si="0"/>
        <v>0</v>
      </c>
    </row>
    <row r="19" spans="1:9" x14ac:dyDescent="0.25">
      <c r="A19" s="202"/>
      <c r="B19" s="865"/>
      <c r="C19" s="200"/>
      <c r="D19" s="201"/>
      <c r="E19" s="201"/>
      <c r="F19" s="201"/>
      <c r="G19" s="201"/>
      <c r="H19" s="645"/>
      <c r="I19" s="918">
        <f t="shared" si="0"/>
        <v>0</v>
      </c>
    </row>
    <row r="20" spans="1:9" x14ac:dyDescent="0.25">
      <c r="A20" s="202"/>
      <c r="B20" s="865"/>
      <c r="C20" s="200"/>
      <c r="D20" s="201"/>
      <c r="E20" s="201"/>
      <c r="F20" s="201"/>
      <c r="G20" s="201"/>
      <c r="H20" s="645"/>
      <c r="I20" s="918">
        <f t="shared" si="0"/>
        <v>0</v>
      </c>
    </row>
    <row r="21" spans="1:9" ht="17.25" customHeight="1" thickBot="1" x14ac:dyDescent="0.3">
      <c r="A21" s="206"/>
      <c r="B21" s="866"/>
      <c r="C21" s="207"/>
      <c r="D21" s="208"/>
      <c r="E21" s="208"/>
      <c r="F21" s="208"/>
      <c r="G21" s="208"/>
      <c r="H21" s="648"/>
      <c r="I21" s="921">
        <f t="shared" si="0"/>
        <v>0</v>
      </c>
    </row>
    <row r="22" spans="1:9" x14ac:dyDescent="0.25">
      <c r="A22" s="204"/>
      <c r="B22" s="205"/>
      <c r="C22" s="205"/>
      <c r="D22" s="205"/>
      <c r="E22" s="205"/>
      <c r="F22" s="205"/>
      <c r="G22" s="205"/>
      <c r="H22" s="646" t="s">
        <v>566</v>
      </c>
      <c r="I22" s="1010">
        <f>SUM(I12:I21)</f>
        <v>0</v>
      </c>
    </row>
    <row r="23" spans="1:9" ht="15.6" thickBot="1" x14ac:dyDescent="0.3">
      <c r="A23" s="1057"/>
      <c r="B23" s="209"/>
      <c r="C23" s="209"/>
      <c r="D23" s="209"/>
      <c r="E23" s="209"/>
      <c r="F23" s="209"/>
      <c r="G23" s="209"/>
      <c r="H23" s="1058" t="s">
        <v>522</v>
      </c>
      <c r="I23" s="1072"/>
    </row>
    <row r="24" spans="1:9" ht="16.2" thickTop="1" thickBot="1" x14ac:dyDescent="0.3">
      <c r="A24" s="1059"/>
      <c r="B24" s="600"/>
      <c r="C24" s="600"/>
      <c r="D24" s="600"/>
      <c r="E24" s="600"/>
      <c r="F24" s="600"/>
      <c r="G24" s="600"/>
      <c r="H24" s="600"/>
      <c r="I24" s="601"/>
    </row>
    <row r="25" spans="1:9" ht="15.6" thickTop="1" x14ac:dyDescent="0.25">
      <c r="A25" s="1060" t="s">
        <v>573</v>
      </c>
      <c r="B25" s="870"/>
      <c r="C25" s="1049"/>
      <c r="D25" s="1049"/>
      <c r="E25" s="1049"/>
      <c r="F25" s="1049"/>
      <c r="G25" s="1049"/>
      <c r="H25" s="1049"/>
      <c r="I25" s="1061"/>
    </row>
    <row r="26" spans="1:9" ht="27.6" x14ac:dyDescent="0.25">
      <c r="A26" s="867" t="s">
        <v>520</v>
      </c>
      <c r="B26" s="660" t="s">
        <v>4</v>
      </c>
      <c r="C26" s="639" t="s">
        <v>40</v>
      </c>
      <c r="D26" s="640" t="s">
        <v>25</v>
      </c>
      <c r="E26" s="640" t="s">
        <v>41</v>
      </c>
      <c r="F26" s="641" t="s">
        <v>42</v>
      </c>
      <c r="G26" s="640" t="s">
        <v>9</v>
      </c>
      <c r="H26" s="640" t="s">
        <v>313</v>
      </c>
      <c r="I26" s="642" t="s">
        <v>43</v>
      </c>
    </row>
    <row r="27" spans="1:9" x14ac:dyDescent="0.25">
      <c r="A27" s="196"/>
      <c r="B27" s="863"/>
      <c r="C27" s="197"/>
      <c r="D27" s="198"/>
      <c r="E27" s="198"/>
      <c r="F27" s="198"/>
      <c r="G27" s="198"/>
      <c r="H27" s="644"/>
      <c r="I27" s="915">
        <f t="shared" ref="I27:I36" si="1">G27*H27</f>
        <v>0</v>
      </c>
    </row>
    <row r="28" spans="1:9" x14ac:dyDescent="0.25">
      <c r="A28" s="199"/>
      <c r="B28" s="864"/>
      <c r="C28" s="200"/>
      <c r="D28" s="201"/>
      <c r="E28" s="201"/>
      <c r="F28" s="201"/>
      <c r="G28" s="201"/>
      <c r="H28" s="645"/>
      <c r="I28" s="918">
        <f t="shared" si="1"/>
        <v>0</v>
      </c>
    </row>
    <row r="29" spans="1:9" x14ac:dyDescent="0.25">
      <c r="A29" s="202"/>
      <c r="B29" s="865"/>
      <c r="C29" s="200"/>
      <c r="D29" s="201"/>
      <c r="E29" s="201"/>
      <c r="F29" s="201"/>
      <c r="G29" s="201"/>
      <c r="H29" s="645"/>
      <c r="I29" s="918">
        <f t="shared" si="1"/>
        <v>0</v>
      </c>
    </row>
    <row r="30" spans="1:9" x14ac:dyDescent="0.25">
      <c r="A30" s="202"/>
      <c r="B30" s="865"/>
      <c r="C30" s="200"/>
      <c r="D30" s="201"/>
      <c r="E30" s="201"/>
      <c r="F30" s="201"/>
      <c r="G30" s="201"/>
      <c r="H30" s="645"/>
      <c r="I30" s="918">
        <f t="shared" si="1"/>
        <v>0</v>
      </c>
    </row>
    <row r="31" spans="1:9" x14ac:dyDescent="0.25">
      <c r="A31" s="202"/>
      <c r="B31" s="865"/>
      <c r="C31" s="200"/>
      <c r="D31" s="201"/>
      <c r="E31" s="201"/>
      <c r="F31" s="201"/>
      <c r="G31" s="201"/>
      <c r="H31" s="645"/>
      <c r="I31" s="918">
        <f t="shared" si="1"/>
        <v>0</v>
      </c>
    </row>
    <row r="32" spans="1:9" x14ac:dyDescent="0.25">
      <c r="A32" s="202"/>
      <c r="B32" s="865"/>
      <c r="C32" s="200"/>
      <c r="D32" s="201"/>
      <c r="E32" s="201"/>
      <c r="F32" s="201"/>
      <c r="G32" s="201"/>
      <c r="H32" s="645"/>
      <c r="I32" s="918">
        <f t="shared" si="1"/>
        <v>0</v>
      </c>
    </row>
    <row r="33" spans="1:9" x14ac:dyDescent="0.25">
      <c r="A33" s="202"/>
      <c r="B33" s="865"/>
      <c r="C33" s="200"/>
      <c r="D33" s="201"/>
      <c r="E33" s="201"/>
      <c r="F33" s="201"/>
      <c r="G33" s="201"/>
      <c r="H33" s="645"/>
      <c r="I33" s="918">
        <f t="shared" si="1"/>
        <v>0</v>
      </c>
    </row>
    <row r="34" spans="1:9" x14ac:dyDescent="0.25">
      <c r="A34" s="202"/>
      <c r="B34" s="865"/>
      <c r="C34" s="200"/>
      <c r="D34" s="201"/>
      <c r="E34" s="201"/>
      <c r="F34" s="201"/>
      <c r="G34" s="201"/>
      <c r="H34" s="645"/>
      <c r="I34" s="918">
        <f t="shared" si="1"/>
        <v>0</v>
      </c>
    </row>
    <row r="35" spans="1:9" x14ac:dyDescent="0.25">
      <c r="A35" s="202"/>
      <c r="B35" s="865"/>
      <c r="C35" s="200"/>
      <c r="D35" s="201"/>
      <c r="E35" s="201"/>
      <c r="F35" s="201"/>
      <c r="G35" s="201"/>
      <c r="H35" s="1062"/>
      <c r="I35" s="918">
        <f t="shared" si="1"/>
        <v>0</v>
      </c>
    </row>
    <row r="36" spans="1:9" ht="15.6" thickBot="1" x14ac:dyDescent="0.3">
      <c r="A36" s="206"/>
      <c r="B36" s="866"/>
      <c r="C36" s="207"/>
      <c r="D36" s="208"/>
      <c r="E36" s="208"/>
      <c r="F36" s="208"/>
      <c r="G36" s="208"/>
      <c r="H36" s="1063"/>
      <c r="I36" s="921">
        <f t="shared" si="1"/>
        <v>0</v>
      </c>
    </row>
    <row r="37" spans="1:9" x14ac:dyDescent="0.25">
      <c r="A37" s="204"/>
      <c r="B37" s="205"/>
      <c r="C37" s="205"/>
      <c r="D37" s="205"/>
      <c r="E37" s="205"/>
      <c r="F37" s="205"/>
      <c r="G37" s="205"/>
      <c r="H37" s="646" t="s">
        <v>567</v>
      </c>
      <c r="I37" s="1010">
        <f>SUM(I27:I36)</f>
        <v>0</v>
      </c>
    </row>
    <row r="38" spans="1:9" ht="15.6" thickBot="1" x14ac:dyDescent="0.3">
      <c r="A38" s="192"/>
      <c r="B38" s="193"/>
      <c r="C38" s="193"/>
      <c r="D38" s="193"/>
      <c r="E38" s="193"/>
      <c r="F38" s="193"/>
      <c r="G38" s="193"/>
      <c r="H38" s="880" t="s">
        <v>522</v>
      </c>
      <c r="I38" s="1073"/>
    </row>
    <row r="39" spans="1:9" ht="16.2" thickTop="1" thickBot="1" x14ac:dyDescent="0.3">
      <c r="A39" s="1064"/>
      <c r="B39" s="1065"/>
      <c r="C39" s="1065"/>
      <c r="D39" s="1065"/>
      <c r="E39" s="1065"/>
      <c r="F39" s="1065"/>
      <c r="G39" s="1065"/>
      <c r="H39" s="1066"/>
      <c r="I39" s="1074"/>
    </row>
    <row r="40" spans="1:9" ht="15.6" thickTop="1" x14ac:dyDescent="0.25">
      <c r="A40" s="1060" t="s">
        <v>574</v>
      </c>
      <c r="B40" s="870"/>
      <c r="C40" s="1049"/>
      <c r="D40" s="1049"/>
      <c r="E40" s="1049"/>
      <c r="F40" s="1049"/>
      <c r="G40" s="1049"/>
      <c r="H40" s="1050"/>
      <c r="I40" s="1051"/>
    </row>
    <row r="41" spans="1:9" ht="27.6" x14ac:dyDescent="0.25">
      <c r="A41" s="867" t="s">
        <v>520</v>
      </c>
      <c r="B41" s="660" t="s">
        <v>4</v>
      </c>
      <c r="C41" s="639" t="s">
        <v>40</v>
      </c>
      <c r="D41" s="640" t="s">
        <v>25</v>
      </c>
      <c r="E41" s="640" t="s">
        <v>41</v>
      </c>
      <c r="F41" s="641" t="s">
        <v>42</v>
      </c>
      <c r="G41" s="640" t="s">
        <v>9</v>
      </c>
      <c r="H41" s="640" t="s">
        <v>313</v>
      </c>
      <c r="I41" s="643" t="s">
        <v>43</v>
      </c>
    </row>
    <row r="42" spans="1:9" x14ac:dyDescent="0.25">
      <c r="A42" s="196"/>
      <c r="B42" s="863"/>
      <c r="C42" s="197"/>
      <c r="D42" s="198"/>
      <c r="E42" s="198"/>
      <c r="F42" s="198"/>
      <c r="G42" s="198"/>
      <c r="H42" s="644"/>
      <c r="I42" s="915">
        <f t="shared" ref="I42:I51" si="2">G42*H42</f>
        <v>0</v>
      </c>
    </row>
    <row r="43" spans="1:9" x14ac:dyDescent="0.25">
      <c r="A43" s="199"/>
      <c r="B43" s="864"/>
      <c r="C43" s="200"/>
      <c r="D43" s="201"/>
      <c r="E43" s="201"/>
      <c r="F43" s="201"/>
      <c r="G43" s="201"/>
      <c r="H43" s="645"/>
      <c r="I43" s="918">
        <f t="shared" si="2"/>
        <v>0</v>
      </c>
    </row>
    <row r="44" spans="1:9" x14ac:dyDescent="0.25">
      <c r="A44" s="202"/>
      <c r="B44" s="865"/>
      <c r="C44" s="200"/>
      <c r="D44" s="201"/>
      <c r="E44" s="201"/>
      <c r="F44" s="201"/>
      <c r="G44" s="201"/>
      <c r="H44" s="645"/>
      <c r="I44" s="918">
        <f t="shared" si="2"/>
        <v>0</v>
      </c>
    </row>
    <row r="45" spans="1:9" x14ac:dyDescent="0.25">
      <c r="A45" s="202"/>
      <c r="B45" s="865"/>
      <c r="C45" s="200"/>
      <c r="D45" s="201"/>
      <c r="E45" s="201"/>
      <c r="F45" s="201"/>
      <c r="G45" s="201"/>
      <c r="H45" s="645"/>
      <c r="I45" s="918">
        <f t="shared" si="2"/>
        <v>0</v>
      </c>
    </row>
    <row r="46" spans="1:9" x14ac:dyDescent="0.25">
      <c r="A46" s="202"/>
      <c r="B46" s="865"/>
      <c r="C46" s="200"/>
      <c r="D46" s="201"/>
      <c r="E46" s="201"/>
      <c r="F46" s="201"/>
      <c r="G46" s="201"/>
      <c r="H46" s="645"/>
      <c r="I46" s="918">
        <f t="shared" si="2"/>
        <v>0</v>
      </c>
    </row>
    <row r="47" spans="1:9" x14ac:dyDescent="0.25">
      <c r="A47" s="202"/>
      <c r="B47" s="865"/>
      <c r="C47" s="200"/>
      <c r="D47" s="201"/>
      <c r="E47" s="201"/>
      <c r="F47" s="201"/>
      <c r="G47" s="201"/>
      <c r="H47" s="645"/>
      <c r="I47" s="918">
        <f t="shared" si="2"/>
        <v>0</v>
      </c>
    </row>
    <row r="48" spans="1:9" x14ac:dyDescent="0.25">
      <c r="A48" s="202"/>
      <c r="B48" s="865"/>
      <c r="C48" s="200"/>
      <c r="D48" s="201"/>
      <c r="E48" s="201"/>
      <c r="F48" s="201"/>
      <c r="G48" s="201"/>
      <c r="H48" s="645"/>
      <c r="I48" s="918">
        <f t="shared" si="2"/>
        <v>0</v>
      </c>
    </row>
    <row r="49" spans="1:9" x14ac:dyDescent="0.25">
      <c r="A49" s="202"/>
      <c r="B49" s="865"/>
      <c r="C49" s="200"/>
      <c r="D49" s="201"/>
      <c r="E49" s="201"/>
      <c r="F49" s="201"/>
      <c r="G49" s="201"/>
      <c r="H49" s="645"/>
      <c r="I49" s="918">
        <f t="shared" si="2"/>
        <v>0</v>
      </c>
    </row>
    <row r="50" spans="1:9" x14ac:dyDescent="0.25">
      <c r="A50" s="202"/>
      <c r="B50" s="865"/>
      <c r="C50" s="200"/>
      <c r="D50" s="201"/>
      <c r="E50" s="201"/>
      <c r="F50" s="201"/>
      <c r="G50" s="201"/>
      <c r="H50" s="645"/>
      <c r="I50" s="918">
        <f t="shared" si="2"/>
        <v>0</v>
      </c>
    </row>
    <row r="51" spans="1:9" ht="15.6" thickBot="1" x14ac:dyDescent="0.3">
      <c r="A51" s="206"/>
      <c r="B51" s="866"/>
      <c r="C51" s="207"/>
      <c r="D51" s="208"/>
      <c r="E51" s="208"/>
      <c r="F51" s="208"/>
      <c r="G51" s="208"/>
      <c r="H51" s="648"/>
      <c r="I51" s="921">
        <f t="shared" si="2"/>
        <v>0</v>
      </c>
    </row>
    <row r="52" spans="1:9" x14ac:dyDescent="0.25">
      <c r="A52" s="204"/>
      <c r="B52" s="205"/>
      <c r="C52" s="205"/>
      <c r="D52" s="205"/>
      <c r="E52" s="205"/>
      <c r="F52" s="205"/>
      <c r="G52" s="205"/>
      <c r="H52" s="646" t="s">
        <v>568</v>
      </c>
      <c r="I52" s="1010">
        <f>SUM(I42:I51)</f>
        <v>0</v>
      </c>
    </row>
    <row r="53" spans="1:9" x14ac:dyDescent="0.25">
      <c r="A53" s="1067"/>
      <c r="B53" s="1068"/>
      <c r="C53" s="1068"/>
      <c r="D53" s="1068"/>
      <c r="E53" s="1068"/>
      <c r="F53" s="1068"/>
      <c r="G53" s="1068"/>
      <c r="H53" s="880" t="s">
        <v>522</v>
      </c>
      <c r="I53" s="1075"/>
    </row>
    <row r="54" spans="1:9" x14ac:dyDescent="0.25">
      <c r="A54" s="1069" t="s">
        <v>569</v>
      </c>
      <c r="B54" s="876"/>
      <c r="C54" s="195"/>
      <c r="D54" s="195"/>
      <c r="E54" s="195"/>
      <c r="F54" s="195"/>
      <c r="G54" s="195"/>
      <c r="H54" s="647"/>
      <c r="I54" s="1070"/>
    </row>
    <row r="55" spans="1:9" ht="27.6" x14ac:dyDescent="0.25">
      <c r="A55" s="867" t="s">
        <v>520</v>
      </c>
      <c r="B55" s="660" t="s">
        <v>4</v>
      </c>
      <c r="C55" s="639" t="s">
        <v>40</v>
      </c>
      <c r="D55" s="640" t="s">
        <v>25</v>
      </c>
      <c r="E55" s="640" t="s">
        <v>41</v>
      </c>
      <c r="F55" s="641" t="s">
        <v>42</v>
      </c>
      <c r="G55" s="640" t="s">
        <v>9</v>
      </c>
      <c r="H55" s="640" t="s">
        <v>313</v>
      </c>
      <c r="I55" s="643" t="s">
        <v>43</v>
      </c>
    </row>
    <row r="56" spans="1:9" x14ac:dyDescent="0.25">
      <c r="A56" s="196"/>
      <c r="B56" s="863"/>
      <c r="C56" s="197"/>
      <c r="D56" s="198"/>
      <c r="E56" s="198"/>
      <c r="F56" s="198"/>
      <c r="G56" s="198"/>
      <c r="H56" s="644"/>
      <c r="I56" s="915">
        <f t="shared" ref="I56:I65" si="3">G56*H56</f>
        <v>0</v>
      </c>
    </row>
    <row r="57" spans="1:9" x14ac:dyDescent="0.25">
      <c r="A57" s="199"/>
      <c r="B57" s="864"/>
      <c r="C57" s="200"/>
      <c r="D57" s="201"/>
      <c r="E57" s="201"/>
      <c r="F57" s="201"/>
      <c r="G57" s="201"/>
      <c r="H57" s="645"/>
      <c r="I57" s="918">
        <f t="shared" si="3"/>
        <v>0</v>
      </c>
    </row>
    <row r="58" spans="1:9" x14ac:dyDescent="0.25">
      <c r="A58" s="202"/>
      <c r="B58" s="865"/>
      <c r="C58" s="200"/>
      <c r="D58" s="201"/>
      <c r="E58" s="201"/>
      <c r="F58" s="201"/>
      <c r="G58" s="201"/>
      <c r="H58" s="645"/>
      <c r="I58" s="918">
        <f t="shared" si="3"/>
        <v>0</v>
      </c>
    </row>
    <row r="59" spans="1:9" x14ac:dyDescent="0.25">
      <c r="A59" s="202"/>
      <c r="B59" s="865"/>
      <c r="C59" s="200"/>
      <c r="D59" s="201"/>
      <c r="E59" s="201"/>
      <c r="F59" s="201"/>
      <c r="G59" s="201"/>
      <c r="H59" s="645"/>
      <c r="I59" s="918">
        <f t="shared" si="3"/>
        <v>0</v>
      </c>
    </row>
    <row r="60" spans="1:9" x14ac:dyDescent="0.25">
      <c r="A60" s="202"/>
      <c r="B60" s="865"/>
      <c r="C60" s="200"/>
      <c r="D60" s="201"/>
      <c r="E60" s="201"/>
      <c r="F60" s="201"/>
      <c r="G60" s="201"/>
      <c r="H60" s="645"/>
      <c r="I60" s="918">
        <f t="shared" si="3"/>
        <v>0</v>
      </c>
    </row>
    <row r="61" spans="1:9" x14ac:dyDescent="0.25">
      <c r="A61" s="202"/>
      <c r="B61" s="865"/>
      <c r="C61" s="200"/>
      <c r="D61" s="201"/>
      <c r="E61" s="201"/>
      <c r="F61" s="201"/>
      <c r="G61" s="201"/>
      <c r="H61" s="645"/>
      <c r="I61" s="918">
        <f t="shared" si="3"/>
        <v>0</v>
      </c>
    </row>
    <row r="62" spans="1:9" x14ac:dyDescent="0.25">
      <c r="A62" s="202"/>
      <c r="B62" s="865"/>
      <c r="C62" s="200"/>
      <c r="D62" s="201"/>
      <c r="E62" s="201"/>
      <c r="F62" s="201"/>
      <c r="G62" s="201"/>
      <c r="H62" s="645"/>
      <c r="I62" s="918">
        <f t="shared" si="3"/>
        <v>0</v>
      </c>
    </row>
    <row r="63" spans="1:9" x14ac:dyDescent="0.25">
      <c r="A63" s="202"/>
      <c r="B63" s="865"/>
      <c r="C63" s="200"/>
      <c r="D63" s="201"/>
      <c r="E63" s="201"/>
      <c r="F63" s="201"/>
      <c r="G63" s="201"/>
      <c r="H63" s="645"/>
      <c r="I63" s="918">
        <f t="shared" si="3"/>
        <v>0</v>
      </c>
    </row>
    <row r="64" spans="1:9" x14ac:dyDescent="0.25">
      <c r="A64" s="202"/>
      <c r="B64" s="865"/>
      <c r="C64" s="200"/>
      <c r="D64" s="201"/>
      <c r="E64" s="201"/>
      <c r="F64" s="201"/>
      <c r="G64" s="201"/>
      <c r="H64" s="645"/>
      <c r="I64" s="918">
        <f t="shared" si="3"/>
        <v>0</v>
      </c>
    </row>
    <row r="65" spans="1:11" ht="15.6" thickBot="1" x14ac:dyDescent="0.3">
      <c r="A65" s="206"/>
      <c r="B65" s="866"/>
      <c r="C65" s="207"/>
      <c r="D65" s="208"/>
      <c r="E65" s="208"/>
      <c r="F65" s="208"/>
      <c r="G65" s="208"/>
      <c r="H65" s="648"/>
      <c r="I65" s="921">
        <f t="shared" si="3"/>
        <v>0</v>
      </c>
    </row>
    <row r="66" spans="1:11" x14ac:dyDescent="0.25">
      <c r="A66" s="204"/>
      <c r="B66" s="205"/>
      <c r="C66" s="205"/>
      <c r="D66" s="205"/>
      <c r="E66" s="205"/>
      <c r="F66" s="205"/>
      <c r="G66" s="205"/>
      <c r="H66" s="203" t="s">
        <v>570</v>
      </c>
      <c r="I66" s="1010">
        <f>SUM(I56:I65)</f>
        <v>0</v>
      </c>
    </row>
    <row r="67" spans="1:11" ht="15.6" thickBot="1" x14ac:dyDescent="0.3">
      <c r="A67" s="189"/>
      <c r="B67" s="186"/>
      <c r="C67" s="186"/>
      <c r="D67" s="186"/>
      <c r="E67" s="186"/>
      <c r="F67" s="186"/>
      <c r="G67" s="186"/>
      <c r="H67" s="164" t="s">
        <v>522</v>
      </c>
      <c r="I67" s="1075"/>
      <c r="K67" s="1142"/>
    </row>
    <row r="68" spans="1:11" ht="15.6" thickBot="1" x14ac:dyDescent="0.3">
      <c r="A68" s="1159" t="s">
        <v>519</v>
      </c>
      <c r="B68" s="1157"/>
      <c r="C68" s="1154"/>
      <c r="D68" s="1154"/>
      <c r="E68" s="1154"/>
      <c r="F68" s="1154"/>
      <c r="G68" s="1155"/>
      <c r="H68" s="1156" t="s">
        <v>594</v>
      </c>
      <c r="I68" s="1071">
        <f>IF('Input Data'!$E$10="E",'Time Based'!I22+'Time Based'!I52+'Time Based'!I66,0)</f>
        <v>0</v>
      </c>
    </row>
    <row r="69" spans="1:11" ht="15.6" thickBot="1" x14ac:dyDescent="0.3">
      <c r="A69" s="838"/>
      <c r="B69" s="836"/>
      <c r="C69" s="903"/>
      <c r="D69" s="903"/>
      <c r="E69" s="903"/>
      <c r="F69" s="903"/>
      <c r="G69" s="903"/>
      <c r="H69" s="171" t="s">
        <v>572</v>
      </c>
      <c r="I69" s="1071">
        <f>IF('Input Data'!$E$10="E",'Time Based'!I23+'Time Based'!I53+'Time Based'!I67,0)</f>
        <v>0</v>
      </c>
    </row>
    <row r="70" spans="1:11" ht="16.2" thickTop="1" thickBot="1" x14ac:dyDescent="0.3">
      <c r="A70" s="1158" t="s">
        <v>592</v>
      </c>
      <c r="B70" s="779"/>
      <c r="C70" s="897"/>
      <c r="D70" s="897"/>
      <c r="E70" s="897"/>
      <c r="F70" s="897"/>
      <c r="G70" s="897"/>
      <c r="H70" s="1151" t="s">
        <v>571</v>
      </c>
      <c r="I70" s="1152">
        <f>IF('Input Data'!$E$10="b",IF('Tax Invoice Multidiscpl Project'!$O$42&gt;0,(I52+I66),(I37+I52+I66)),0)</f>
        <v>0</v>
      </c>
    </row>
    <row r="71" spans="1:11" ht="15.6" thickBot="1" x14ac:dyDescent="0.3">
      <c r="A71" s="1035"/>
      <c r="B71" s="903"/>
      <c r="C71" s="903"/>
      <c r="D71" s="903"/>
      <c r="E71" s="903"/>
      <c r="F71" s="903"/>
      <c r="G71" s="903"/>
      <c r="H71" s="923" t="s">
        <v>572</v>
      </c>
      <c r="I71" s="1153">
        <f>IF('Input Data'!$E$10="b",IF('Tax Invoice Multidiscpl Project'!$O$42&gt;0,(I53+I67),(I38+I53+I67)),0)</f>
        <v>0</v>
      </c>
    </row>
    <row r="72" spans="1:11" ht="15.6" thickTop="1" x14ac:dyDescent="0.25"/>
  </sheetData>
  <mergeCells count="3">
    <mergeCell ref="G7:I7"/>
    <mergeCell ref="G5:I5"/>
    <mergeCell ref="G6:I6"/>
  </mergeCells>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Tax Invoice Engineering Project</vt:lpstr>
      <vt:lpstr>Tax Invoice Multidiscpl Project</vt:lpstr>
      <vt:lpstr>Scales</vt:lpstr>
      <vt:lpstr>Previous Claims</vt:lpstr>
      <vt:lpstr>Summary A3</vt:lpstr>
      <vt:lpstr>Time Based</vt:lpstr>
      <vt:lpstr>Trip Sheet</vt:lpstr>
      <vt:lpstr>Subsistance &amp; Travelling</vt:lpstr>
      <vt:lpstr>Typing, Duplicating, &amp; Printing</vt:lpstr>
      <vt:lpstr>Site staff &amp; Other</vt:lpstr>
      <vt:lpstr>Non Taxable</vt:lpstr>
      <vt:lpstr>'Input Data'!Print_Area</vt:lpstr>
      <vt:lpstr>Notes!Print_Area</vt:lpstr>
      <vt:lpstr>'Site staff &amp; Other'!Print_Area</vt:lpstr>
      <vt:lpstr>'Subsistance &amp; Travelling'!Print_Area</vt:lpstr>
      <vt:lpstr>'Tax Invoice Engineering Project'!Print_Area</vt:lpstr>
      <vt:lpstr>'Tax Invoice Multidiscpl Project'!Print_Area</vt:lpstr>
      <vt:lpstr>'Time Based'!Print_Area</vt:lpstr>
      <vt:lpstr>'Typing, Duplicating, &amp; Printing'!Print_Area</vt:lpstr>
      <vt:lpstr>'Worked Example'!Print_Area</vt:lpstr>
      <vt:lpstr>'Tax Invoice Engineering Project'!Print_Titles</vt:lpstr>
      <vt:lpstr>'Tax Invoice Multidiscpl Project'!Print_Titles</vt:lpstr>
      <vt:lpstr>SCALE_EB</vt:lpstr>
      <vt:lpstr>SCALE_EE</vt:lpstr>
    </vt:vector>
  </TitlesOfParts>
  <Company>PWD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2011-05-17T13:13:14Z</cp:lastPrinted>
  <dcterms:created xsi:type="dcterms:W3CDTF">2000-04-06T11:32:49Z</dcterms:created>
  <dcterms:modified xsi:type="dcterms:W3CDTF">2024-07-18T10:33:14Z</dcterms:modified>
</cp:coreProperties>
</file>